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1483ab89ca3ebfb/Desktop/NBD_for_Amal/"/>
    </mc:Choice>
  </mc:AlternateContent>
  <xr:revisionPtr revIDLastSave="878" documentId="8_{27CC93FF-C354-4884-B846-95BDA1934A01}" xr6:coauthVersionLast="47" xr6:coauthVersionMax="47" xr10:uidLastSave="{B32624BE-8FC9-426F-96AC-0D18E5A183DC}"/>
  <bookViews>
    <workbookView xWindow="28680" yWindow="-120" windowWidth="29040" windowHeight="16440" activeTab="4" xr2:uid="{FB2FE5F9-1FE5-4EAA-9A2D-2E3E57935C07}"/>
  </bookViews>
  <sheets>
    <sheet name="transactions" sheetId="3" r:id="rId1"/>
    <sheet name="summary_cb" sheetId="2" r:id="rId2"/>
    <sheet name="customer_summary" sheetId="1" r:id="rId3"/>
    <sheet name="NBD_probabilities" sheetId="4" r:id="rId4"/>
    <sheet name="brand_summary" sheetId="5" r:id="rId5"/>
    <sheet name="brand_flags" sheetId="7" r:id="rId6"/>
    <sheet name="duplication" sheetId="6" r:id="rId7"/>
  </sheets>
  <definedNames>
    <definedName name="alpha_0">customer_summary!$B$41</definedName>
    <definedName name="alpha_scale">customer_summary!$B$40</definedName>
    <definedName name="apple">brand_flags!$D$2:$D$33</definedName>
    <definedName name="banana">brand_flags!$E$2:$E$33</definedName>
    <definedName name="brand">summary_cb!$B$2:$B$61</definedName>
    <definedName name="cherry">brand_flags!$F$2:$F$33</definedName>
    <definedName name="columnBrand">duplication!$C$3:$F$3</definedName>
    <definedName name="durian">brand_flags!$G$2:$G$33</definedName>
    <definedName name="mean_cat">customer_summary!$B$36</definedName>
    <definedName name="n_customers">customer_summary!$B$35</definedName>
    <definedName name="n_purchases">summary_cb!$C$2:$C$61</definedName>
    <definedName name="n_purchases_total">customer_summary!$B$2:$B$33</definedName>
    <definedName name="r_shape">customer_summary!$B$39</definedName>
    <definedName name="rowBrand">duplication!$B$4:$B$7</definedName>
    <definedName name="s_hat">brand_summary!$G$8</definedName>
    <definedName name="variance_cat">customer_summary!$B$37</definedName>
    <definedName name="x">NBD_probabilities!$A$6:$A$26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5" l="1"/>
  <c r="E63" i="2"/>
  <c r="D63" i="2"/>
  <c r="B39" i="1"/>
  <c r="B47" i="1" a="1"/>
  <c r="B47" i="1" s="1"/>
  <c r="C7" i="6" a="1"/>
  <c r="C7" i="6" s="1"/>
  <c r="F7" i="6" a="1"/>
  <c r="F7" i="6" s="1"/>
  <c r="B1" i="7" a="1"/>
  <c r="B1" i="7" s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C47" i="1" l="1" a="1"/>
  <c r="C47" i="1" s="1"/>
  <c r="B52" i="1" a="1"/>
  <c r="B52" i="1" s="1"/>
  <c r="B35" i="1"/>
  <c r="C6" i="4" s="1" a="1"/>
  <c r="C1" i="7" a="1"/>
  <c r="A3" i="5" a="1"/>
  <c r="B4" i="5" s="1"/>
  <c r="B36" i="1"/>
  <c r="B37" i="1"/>
  <c r="M4" i="5" l="1"/>
  <c r="C4" i="5"/>
  <c r="E4" i="5" s="1"/>
  <c r="C5" i="5"/>
  <c r="A3" i="5"/>
  <c r="B7" i="6"/>
  <c r="C6" i="5"/>
  <c r="B6" i="6"/>
  <c r="B5" i="5"/>
  <c r="M5" i="5" s="1"/>
  <c r="B6" i="5"/>
  <c r="M6" i="5" s="1"/>
  <c r="B5" i="6"/>
  <c r="C1" i="7"/>
  <c r="D1" i="7" a="1"/>
  <c r="C6" i="4"/>
  <c r="C28" i="4"/>
  <c r="B40" i="1" l="1"/>
  <c r="B3" i="4" s="1"/>
  <c r="B6" i="4" a="1"/>
  <c r="B6" i="4" s="1"/>
  <c r="B2" i="4"/>
  <c r="E3" i="6"/>
  <c r="L3" i="6" s="1"/>
  <c r="I6" i="6"/>
  <c r="D3" i="6"/>
  <c r="K3" i="6" s="1"/>
  <c r="I5" i="6"/>
  <c r="F3" i="6"/>
  <c r="M3" i="6" s="1"/>
  <c r="I7" i="6"/>
  <c r="B4" i="6"/>
  <c r="B3" i="5"/>
  <c r="M3" i="5" s="1"/>
  <c r="C3" i="5"/>
  <c r="D1" i="7"/>
  <c r="E6" i="7"/>
  <c r="E3" i="7"/>
  <c r="E8" i="7"/>
  <c r="E13" i="7"/>
  <c r="E18" i="7"/>
  <c r="E23" i="7"/>
  <c r="E28" i="7"/>
  <c r="E33" i="7"/>
  <c r="E21" i="7"/>
  <c r="F3" i="7"/>
  <c r="F8" i="7"/>
  <c r="F13" i="7"/>
  <c r="F18" i="7"/>
  <c r="F23" i="7"/>
  <c r="F28" i="7"/>
  <c r="F33" i="7"/>
  <c r="G3" i="7"/>
  <c r="G8" i="7"/>
  <c r="G13" i="7"/>
  <c r="G18" i="7"/>
  <c r="G23" i="7"/>
  <c r="G28" i="7"/>
  <c r="G33" i="7"/>
  <c r="G22" i="7"/>
  <c r="E2" i="7"/>
  <c r="E31" i="7"/>
  <c r="E4" i="7"/>
  <c r="E9" i="7"/>
  <c r="E14" i="7"/>
  <c r="E19" i="7"/>
  <c r="E24" i="7"/>
  <c r="E29" i="7"/>
  <c r="F2" i="7"/>
  <c r="F4" i="7"/>
  <c r="F9" i="7"/>
  <c r="F14" i="7"/>
  <c r="F19" i="7"/>
  <c r="F24" i="7"/>
  <c r="F29" i="7"/>
  <c r="G2" i="7"/>
  <c r="E16" i="7"/>
  <c r="F11" i="7"/>
  <c r="G32" i="7"/>
  <c r="G4" i="7"/>
  <c r="G9" i="7"/>
  <c r="G14" i="7"/>
  <c r="G19" i="7"/>
  <c r="G24" i="7"/>
  <c r="G29" i="7"/>
  <c r="F16" i="7"/>
  <c r="F21" i="7"/>
  <c r="G17" i="7"/>
  <c r="E5" i="7"/>
  <c r="E10" i="7"/>
  <c r="E15" i="7"/>
  <c r="E20" i="7"/>
  <c r="E25" i="7"/>
  <c r="E30" i="7"/>
  <c r="E26" i="7"/>
  <c r="F26" i="7"/>
  <c r="G27" i="7"/>
  <c r="F5" i="7"/>
  <c r="F10" i="7"/>
  <c r="F15" i="7"/>
  <c r="F20" i="7"/>
  <c r="F25" i="7"/>
  <c r="F30" i="7"/>
  <c r="G5" i="7"/>
  <c r="G10" i="7"/>
  <c r="G15" i="7"/>
  <c r="G20" i="7"/>
  <c r="G25" i="7"/>
  <c r="G30" i="7"/>
  <c r="F31" i="7"/>
  <c r="G12" i="7"/>
  <c r="E11" i="7"/>
  <c r="F6" i="7"/>
  <c r="G6" i="7"/>
  <c r="G11" i="7"/>
  <c r="G16" i="7"/>
  <c r="G21" i="7"/>
  <c r="G26" i="7"/>
  <c r="G31" i="7"/>
  <c r="G7" i="7"/>
  <c r="E7" i="7"/>
  <c r="E12" i="7"/>
  <c r="E17" i="7"/>
  <c r="E22" i="7"/>
  <c r="E27" i="7"/>
  <c r="E32" i="7"/>
  <c r="F7" i="7"/>
  <c r="F12" i="7"/>
  <c r="F17" i="7"/>
  <c r="F22" i="7"/>
  <c r="F27" i="7"/>
  <c r="F32" i="7"/>
  <c r="E5" i="5"/>
  <c r="E6" i="5"/>
  <c r="B43" i="1" l="1"/>
  <c r="B44" i="1" s="1"/>
  <c r="B45" i="1" s="1"/>
  <c r="B41" i="1"/>
  <c r="D7" i="6" a="1"/>
  <c r="D7" i="6" s="1"/>
  <c r="K7" i="6" s="1"/>
  <c r="F5" i="6" a="1"/>
  <c r="F5" i="6" s="1"/>
  <c r="M5" i="6" s="1"/>
  <c r="E5" i="6" a="1"/>
  <c r="E5" i="6" s="1"/>
  <c r="L5" i="6" s="1"/>
  <c r="D5" i="6" a="1"/>
  <c r="D5" i="6" s="1"/>
  <c r="E6" i="6" a="1"/>
  <c r="E6" i="6" s="1"/>
  <c r="E7" i="6" a="1"/>
  <c r="E7" i="6" s="1"/>
  <c r="L7" i="6" s="1"/>
  <c r="F6" i="6" a="1"/>
  <c r="F6" i="6" s="1"/>
  <c r="M6" i="6" s="1"/>
  <c r="D6" i="6" a="1"/>
  <c r="D6" i="6" s="1"/>
  <c r="K6" i="6" s="1"/>
  <c r="C3" i="6"/>
  <c r="J3" i="6" s="1"/>
  <c r="I4" i="6"/>
  <c r="D3" i="7"/>
  <c r="D8" i="7"/>
  <c r="D13" i="7"/>
  <c r="D18" i="7"/>
  <c r="D23" i="7"/>
  <c r="D28" i="7"/>
  <c r="D33" i="7"/>
  <c r="D32" i="7"/>
  <c r="D7" i="7"/>
  <c r="D4" i="7"/>
  <c r="D9" i="7"/>
  <c r="D14" i="7"/>
  <c r="D19" i="7"/>
  <c r="D24" i="7"/>
  <c r="D29" i="7"/>
  <c r="D22" i="7"/>
  <c r="D2" i="7"/>
  <c r="D5" i="7"/>
  <c r="D10" i="7"/>
  <c r="D15" i="7"/>
  <c r="D20" i="7"/>
  <c r="D25" i="7"/>
  <c r="D30" i="7"/>
  <c r="D27" i="7"/>
  <c r="D12" i="7"/>
  <c r="D6" i="7"/>
  <c r="D11" i="7"/>
  <c r="D16" i="7"/>
  <c r="D21" i="7"/>
  <c r="D26" i="7"/>
  <c r="D31" i="7"/>
  <c r="D17" i="7"/>
  <c r="C8" i="5"/>
  <c r="E3" i="5"/>
  <c r="B28" i="4"/>
  <c r="D4" i="6" l="1" a="1"/>
  <c r="D4" i="6" s="1"/>
  <c r="K4" i="6" s="1"/>
  <c r="C4" i="6" a="1"/>
  <c r="C4" i="6" s="1"/>
  <c r="E4" i="6" a="1"/>
  <c r="E4" i="6" s="1"/>
  <c r="L4" i="6" s="1"/>
  <c r="J7" i="6"/>
  <c r="F4" i="6" a="1"/>
  <c r="F4" i="6" s="1"/>
  <c r="M4" i="6" s="1"/>
  <c r="C6" i="6" a="1"/>
  <c r="C6" i="6" s="1"/>
  <c r="J6" i="6" s="1"/>
  <c r="C5" i="6" a="1"/>
  <c r="C5" i="6" s="1"/>
  <c r="J5" i="6" s="1"/>
  <c r="D6" i="5"/>
  <c r="G6" i="5" s="1"/>
  <c r="D5" i="5"/>
  <c r="G5" i="5" s="1"/>
  <c r="D4" i="5"/>
  <c r="G4" i="5" s="1"/>
  <c r="D3" i="5"/>
  <c r="K3" i="5" s="1"/>
  <c r="J3" i="5" l="1"/>
  <c r="G3" i="5"/>
  <c r="G8" i="5" s="1"/>
  <c r="J6" i="5"/>
  <c r="K6" i="5"/>
  <c r="K4" i="5"/>
  <c r="J5" i="5"/>
  <c r="K5" i="5"/>
  <c r="F3" i="5"/>
  <c r="F4" i="5"/>
  <c r="F5" i="5"/>
  <c r="F6" i="5"/>
  <c r="D8" i="5"/>
  <c r="K8" i="5" l="1" a="1"/>
  <c r="K8" i="5" s="1"/>
  <c r="H4" i="5"/>
  <c r="H5" i="5"/>
  <c r="H6" i="5"/>
  <c r="H3" i="5"/>
  <c r="M14" i="6"/>
  <c r="J8" i="5" a="1"/>
  <c r="J8" i="5" s="1"/>
  <c r="L3" i="5"/>
  <c r="L4" i="5"/>
  <c r="L6" i="5"/>
  <c r="L5" i="5"/>
  <c r="L15" i="6" l="1"/>
  <c r="K12" i="6"/>
  <c r="J14" i="6"/>
  <c r="K14" i="6"/>
  <c r="J13" i="6"/>
  <c r="J15" i="6"/>
  <c r="M12" i="6"/>
  <c r="K15" i="6"/>
  <c r="M13" i="6"/>
  <c r="L12" i="6"/>
  <c r="L13" i="6"/>
  <c r="L8" i="5" a="1"/>
  <c r="L8" i="5" s="1"/>
  <c r="I17" i="6" l="1" a="1"/>
  <c r="I1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<sst xmlns="http://schemas.openxmlformats.org/spreadsheetml/2006/main" count="776" uniqueCount="355">
  <si>
    <t>customer_id</t>
  </si>
  <si>
    <t>brand</t>
  </si>
  <si>
    <t>n_purchases</t>
  </si>
  <si>
    <t>first_purchase_date</t>
  </si>
  <si>
    <t>last_purchase_date</t>
  </si>
  <si>
    <t>total_quantity</t>
  </si>
  <si>
    <t>total_spend</t>
  </si>
  <si>
    <t>C001</t>
  </si>
  <si>
    <t>banana</t>
  </si>
  <si>
    <t>C002</t>
  </si>
  <si>
    <t>C003</t>
  </si>
  <si>
    <t>C006</t>
  </si>
  <si>
    <t>apple</t>
  </si>
  <si>
    <t>C007</t>
  </si>
  <si>
    <t>C008</t>
  </si>
  <si>
    <t>cherry</t>
  </si>
  <si>
    <t>C009</t>
  </si>
  <si>
    <t>C010</t>
  </si>
  <si>
    <t>C011</t>
  </si>
  <si>
    <t>C012</t>
  </si>
  <si>
    <t>C013</t>
  </si>
  <si>
    <t>C014</t>
  </si>
  <si>
    <t>C015</t>
  </si>
  <si>
    <t>C016</t>
  </si>
  <si>
    <t>C017</t>
  </si>
  <si>
    <t>C018</t>
  </si>
  <si>
    <t>C019</t>
  </si>
  <si>
    <t>C020</t>
  </si>
  <si>
    <t>C021</t>
  </si>
  <si>
    <t>C022</t>
  </si>
  <si>
    <t>C023</t>
  </si>
  <si>
    <t>C024</t>
  </si>
  <si>
    <t>C025</t>
  </si>
  <si>
    <t>C026</t>
  </si>
  <si>
    <t>C027</t>
  </si>
  <si>
    <t>C028</t>
  </si>
  <si>
    <t>C029</t>
  </si>
  <si>
    <t>C030</t>
  </si>
  <si>
    <t>C031</t>
  </si>
  <si>
    <t>C032</t>
  </si>
  <si>
    <t>trans_id</t>
  </si>
  <si>
    <t>trans_datetime</t>
  </si>
  <si>
    <t>quantity</t>
  </si>
  <si>
    <t>price</t>
  </si>
  <si>
    <t>spend</t>
  </si>
  <si>
    <t>T0103</t>
  </si>
  <si>
    <t>2024-07-02T05:23:25</t>
  </si>
  <si>
    <t>T0095</t>
  </si>
  <si>
    <t>2024-07-05T18:24:59</t>
  </si>
  <si>
    <t>T0058</t>
  </si>
  <si>
    <t>2024-07-05T23:34:52</t>
  </si>
  <si>
    <t>T0079</t>
  </si>
  <si>
    <t>2024-07-07T01:32:45</t>
  </si>
  <si>
    <t>T0080</t>
  </si>
  <si>
    <t>2024-07-13T01:03:26</t>
  </si>
  <si>
    <t>T0123</t>
  </si>
  <si>
    <t>2024-07-14T15:36:52</t>
  </si>
  <si>
    <t>T0001</t>
  </si>
  <si>
    <t>2024-07-15T20:00:14</t>
  </si>
  <si>
    <t>T0093</t>
  </si>
  <si>
    <t>2024-07-15T20:43:04</t>
  </si>
  <si>
    <t>T0110</t>
  </si>
  <si>
    <t>2024-07-16T01:28:13</t>
  </si>
  <si>
    <t>T0017</t>
  </si>
  <si>
    <t>2024-07-23T12:28:41</t>
  </si>
  <si>
    <t>T0043</t>
  </si>
  <si>
    <t>2024-07-30T08:07:57</t>
  </si>
  <si>
    <t>T0037</t>
  </si>
  <si>
    <t>2024-07-30T19:29:15</t>
  </si>
  <si>
    <t>T0048</t>
  </si>
  <si>
    <t>2024-07-31T02:19:52</t>
  </si>
  <si>
    <t>T0038</t>
  </si>
  <si>
    <t>2024-08-01T06:55:06</t>
  </si>
  <si>
    <t>T0045</t>
  </si>
  <si>
    <t>2024-08-09T05:30:00</t>
  </si>
  <si>
    <t>T0057</t>
  </si>
  <si>
    <t>2024-08-10T06:41:25</t>
  </si>
  <si>
    <t>T0081</t>
  </si>
  <si>
    <t>2024-08-10T09:43:10</t>
  </si>
  <si>
    <t>T0102</t>
  </si>
  <si>
    <t>2024-08-11T05:20:24</t>
  </si>
  <si>
    <t>T0050</t>
  </si>
  <si>
    <t>2024-08-11T19:19:27</t>
  </si>
  <si>
    <t>T0024</t>
  </si>
  <si>
    <t>2024-08-12T05:18:00</t>
  </si>
  <si>
    <t>T0055</t>
  </si>
  <si>
    <t>2024-08-15T15:37:17</t>
  </si>
  <si>
    <t>T0019</t>
  </si>
  <si>
    <t>2024-08-18T20:38:19</t>
  </si>
  <si>
    <t>T0040</t>
  </si>
  <si>
    <t>2024-08-26T03:04:28</t>
  </si>
  <si>
    <t>T0085</t>
  </si>
  <si>
    <t>2024-08-27T06:46:39</t>
  </si>
  <si>
    <t>T0108</t>
  </si>
  <si>
    <t>2024-08-29T10:27:06</t>
  </si>
  <si>
    <t>T0099</t>
  </si>
  <si>
    <t>2024-08-29T12:42:42</t>
  </si>
  <si>
    <t>T0029</t>
  </si>
  <si>
    <t>2024-08-29T20:19:10</t>
  </si>
  <si>
    <t>T0063</t>
  </si>
  <si>
    <t>2024-09-02T02:23:39</t>
  </si>
  <si>
    <t>T0005</t>
  </si>
  <si>
    <t>2024-09-07T04:48:53</t>
  </si>
  <si>
    <t>T0091</t>
  </si>
  <si>
    <t>2024-09-09T20:10:13</t>
  </si>
  <si>
    <t>T0051</t>
  </si>
  <si>
    <t>2024-09-12T01:48:33</t>
  </si>
  <si>
    <t>T0126</t>
  </si>
  <si>
    <t>2024-09-14T14:20:33</t>
  </si>
  <si>
    <t>T0012</t>
  </si>
  <si>
    <t>2024-09-15T06:56:12</t>
  </si>
  <si>
    <t>T0072</t>
  </si>
  <si>
    <t>2024-09-20T23:18:54</t>
  </si>
  <si>
    <t>T0124</t>
  </si>
  <si>
    <t>2024-09-23T00:30:15</t>
  </si>
  <si>
    <t>T0041</t>
  </si>
  <si>
    <t>2024-09-23T21:55:30</t>
  </si>
  <si>
    <t>T0121</t>
  </si>
  <si>
    <t>2024-09-26T21:43:31</t>
  </si>
  <si>
    <t>T0082</t>
  </si>
  <si>
    <t>2024-10-01T22:04:39</t>
  </si>
  <si>
    <t>T0109</t>
  </si>
  <si>
    <t>2024-10-08T09:35:05</t>
  </si>
  <si>
    <t>T0011</t>
  </si>
  <si>
    <t>2024-10-11T19:54:21</t>
  </si>
  <si>
    <t>T0003</t>
  </si>
  <si>
    <t>2024-10-12T14:31:13</t>
  </si>
  <si>
    <t>T0039</t>
  </si>
  <si>
    <t>2024-10-15T21:21:03</t>
  </si>
  <si>
    <t>T0015</t>
  </si>
  <si>
    <t>2024-10-19T03:13:11</t>
  </si>
  <si>
    <t>T0053</t>
  </si>
  <si>
    <t>2024-10-19T23:01:50</t>
  </si>
  <si>
    <t>T0059</t>
  </si>
  <si>
    <t>2024-10-20T22:05:16</t>
  </si>
  <si>
    <t>T0008</t>
  </si>
  <si>
    <t>2024-10-24T12:06:14</t>
  </si>
  <si>
    <t>T0031</t>
  </si>
  <si>
    <t>2024-11-01T13:43:48</t>
  </si>
  <si>
    <t>T0025</t>
  </si>
  <si>
    <t>2024-11-02T09:02:48</t>
  </si>
  <si>
    <t>T0112</t>
  </si>
  <si>
    <t>2024-11-03T00:53:11</t>
  </si>
  <si>
    <t>T0034</t>
  </si>
  <si>
    <t>2024-11-11T00:42:15</t>
  </si>
  <si>
    <t>T0077</t>
  </si>
  <si>
    <t>2024-11-11T22:31:04</t>
  </si>
  <si>
    <t>T0071</t>
  </si>
  <si>
    <t>2024-11-12T06:07:58</t>
  </si>
  <si>
    <t>T0097</t>
  </si>
  <si>
    <t>2024-11-18T20:04:22</t>
  </si>
  <si>
    <t>T0125</t>
  </si>
  <si>
    <t>2024-11-22T09:42:03</t>
  </si>
  <si>
    <t>T0046</t>
  </si>
  <si>
    <t>2024-11-22T19:10:24</t>
  </si>
  <si>
    <t>T0033</t>
  </si>
  <si>
    <t>2024-11-27T22:53:37</t>
  </si>
  <si>
    <t>T0098</t>
  </si>
  <si>
    <t>2024-11-28T04:07:18</t>
  </si>
  <si>
    <t>T0006</t>
  </si>
  <si>
    <t>2024-11-29T19:58:03</t>
  </si>
  <si>
    <t>T0014</t>
  </si>
  <si>
    <t>2024-12-04T20:30:31</t>
  </si>
  <si>
    <t>T0007</t>
  </si>
  <si>
    <t>2024-12-10T01:06:37</t>
  </si>
  <si>
    <t>T0062</t>
  </si>
  <si>
    <t>2024-12-10T08:15:01</t>
  </si>
  <si>
    <t>T0122</t>
  </si>
  <si>
    <t>2024-12-12T20:52:32</t>
  </si>
  <si>
    <t>T0036</t>
  </si>
  <si>
    <t>2024-12-15T09:36:18</t>
  </si>
  <si>
    <t>T0086</t>
  </si>
  <si>
    <t>2024-12-18T23:01:53</t>
  </si>
  <si>
    <t>T0042</t>
  </si>
  <si>
    <t>2024-12-22T02:06:42</t>
  </si>
  <si>
    <t>T0049</t>
  </si>
  <si>
    <t>2024-12-22T08:27:29</t>
  </si>
  <si>
    <t>T0018</t>
  </si>
  <si>
    <t>2025-01-01T07:24:55</t>
  </si>
  <si>
    <t>T0047</t>
  </si>
  <si>
    <t>2025-01-01T19:24:55</t>
  </si>
  <si>
    <t>T0035</t>
  </si>
  <si>
    <t>2025-01-03T08:42:01</t>
  </si>
  <si>
    <t>T0044</t>
  </si>
  <si>
    <t>2025-01-04T01:47:43</t>
  </si>
  <si>
    <t>T0021</t>
  </si>
  <si>
    <t>2025-01-15T01:34:20</t>
  </si>
  <si>
    <t>T0065</t>
  </si>
  <si>
    <t>2025-01-16T05:49:32</t>
  </si>
  <si>
    <t>T0013</t>
  </si>
  <si>
    <t>2025-01-17T20:32:11</t>
  </si>
  <si>
    <t>T0078</t>
  </si>
  <si>
    <t>2025-01-19T00:47:14</t>
  </si>
  <si>
    <t>T0002</t>
  </si>
  <si>
    <t>2025-01-19T13:34:01</t>
  </si>
  <si>
    <t>T0010</t>
  </si>
  <si>
    <t>2025-01-23T18:56:27</t>
  </si>
  <si>
    <t>T0068</t>
  </si>
  <si>
    <t>2025-01-24T14:15:58</t>
  </si>
  <si>
    <t>T0128</t>
  </si>
  <si>
    <t>2025-01-30T15:18:39</t>
  </si>
  <si>
    <t>T0090</t>
  </si>
  <si>
    <t>2025-02-03T07:41:54</t>
  </si>
  <si>
    <t>T0016</t>
  </si>
  <si>
    <t>2025-02-04T00:38:30</t>
  </si>
  <si>
    <t>T0119</t>
  </si>
  <si>
    <t>2025-02-04T00:50:31</t>
  </si>
  <si>
    <t>T0073</t>
  </si>
  <si>
    <t>2025-02-04T14:54:01</t>
  </si>
  <si>
    <t>T0127</t>
  </si>
  <si>
    <t>2025-02-05T04:21:29</t>
  </si>
  <si>
    <t>T0028</t>
  </si>
  <si>
    <t>2025-02-05T05:49:23</t>
  </si>
  <si>
    <t>T0089</t>
  </si>
  <si>
    <t>2025-02-05T15:46:16</t>
  </si>
  <si>
    <t>T0061</t>
  </si>
  <si>
    <t>2025-02-09T15:00:15</t>
  </si>
  <si>
    <t>T0087</t>
  </si>
  <si>
    <t>2025-02-10T21:10:41</t>
  </si>
  <si>
    <t>T0101</t>
  </si>
  <si>
    <t>2025-02-12T03:46:04</t>
  </si>
  <si>
    <t>T0026</t>
  </si>
  <si>
    <t>2025-02-12T06:42:20</t>
  </si>
  <si>
    <t>T0096</t>
  </si>
  <si>
    <t>2025-02-20T08:24:29</t>
  </si>
  <si>
    <t>T0076</t>
  </si>
  <si>
    <t>2025-02-25T19:17:03</t>
  </si>
  <si>
    <t>T0004</t>
  </si>
  <si>
    <t>2025-02-28T04:48:56</t>
  </si>
  <si>
    <t>T0107</t>
  </si>
  <si>
    <t>2025-03-08T13:21:39</t>
  </si>
  <si>
    <t>T0092</t>
  </si>
  <si>
    <t>2025-03-13T03:27:12</t>
  </si>
  <si>
    <t>T0064</t>
  </si>
  <si>
    <t>2025-03-14T17:05:47</t>
  </si>
  <si>
    <t>T0070</t>
  </si>
  <si>
    <t>2025-03-15T23:08:35</t>
  </si>
  <si>
    <t>T0118</t>
  </si>
  <si>
    <t>2025-03-19T05:03:37</t>
  </si>
  <si>
    <t>T0022</t>
  </si>
  <si>
    <t>2025-03-22T00:03:06</t>
  </si>
  <si>
    <t>T0066</t>
  </si>
  <si>
    <t>2025-03-23T00:42:33</t>
  </si>
  <si>
    <t>T0115</t>
  </si>
  <si>
    <t>2025-03-28T15:47:53</t>
  </si>
  <si>
    <t>T0075</t>
  </si>
  <si>
    <t>2025-03-29T07:00:09</t>
  </si>
  <si>
    <t>T0116</t>
  </si>
  <si>
    <t>2025-04-03T07:02:30</t>
  </si>
  <si>
    <t>T0027</t>
  </si>
  <si>
    <t>2025-04-13T04:04:15</t>
  </si>
  <si>
    <t>T0069</t>
  </si>
  <si>
    <t>2025-04-24T23:33:06</t>
  </si>
  <si>
    <t>T0067</t>
  </si>
  <si>
    <t>2025-05-05T00:20:47</t>
  </si>
  <si>
    <t>T0111</t>
  </si>
  <si>
    <t>2025-05-06T09:53:03</t>
  </si>
  <si>
    <t>T0020</t>
  </si>
  <si>
    <t>2025-05-06T10:45:55</t>
  </si>
  <si>
    <t>T0120</t>
  </si>
  <si>
    <t>2025-05-14T11:49:38</t>
  </si>
  <si>
    <t>T0094</t>
  </si>
  <si>
    <t>2025-05-21T22:19:04</t>
  </si>
  <si>
    <t>T0104</t>
  </si>
  <si>
    <t>2025-05-26T13:35:33</t>
  </si>
  <si>
    <t>T0074</t>
  </si>
  <si>
    <t>2025-05-27T23:47:48</t>
  </si>
  <si>
    <t>T0117</t>
  </si>
  <si>
    <t>2025-05-31T01:01:43</t>
  </si>
  <si>
    <t>T0113</t>
  </si>
  <si>
    <t>2025-06-03T02:17:32</t>
  </si>
  <si>
    <t>T0056</t>
  </si>
  <si>
    <t>2025-06-10T17:02:08</t>
  </si>
  <si>
    <t>T0030</t>
  </si>
  <si>
    <t>2025-06-11T18:27:46</t>
  </si>
  <si>
    <t>T0105</t>
  </si>
  <si>
    <t>2025-06-12T12:40:45</t>
  </si>
  <si>
    <t>T0106</t>
  </si>
  <si>
    <t>2025-06-12T12:55:57</t>
  </si>
  <si>
    <t>T0083</t>
  </si>
  <si>
    <t>2025-06-12T23:48:05</t>
  </si>
  <si>
    <t>T0054</t>
  </si>
  <si>
    <t>2025-06-15T01:14:56</t>
  </si>
  <si>
    <t>T0114</t>
  </si>
  <si>
    <t>2025-06-15T02:52:38</t>
  </si>
  <si>
    <t>T0009</t>
  </si>
  <si>
    <t>2025-06-17T12:24:50</t>
  </si>
  <si>
    <t>T0052</t>
  </si>
  <si>
    <t>2025-06-19T02:43:46</t>
  </si>
  <si>
    <t>T0100</t>
  </si>
  <si>
    <t>2025-06-20T08:01:15</t>
  </si>
  <si>
    <t>T0032</t>
  </si>
  <si>
    <t>2025-06-21T05:40:33</t>
  </si>
  <si>
    <t>T0023</t>
  </si>
  <si>
    <t>2025-06-24T23:00:33</t>
  </si>
  <si>
    <t>T0060</t>
  </si>
  <si>
    <t>2025-06-26T17:49:51</t>
  </si>
  <si>
    <t>T0084</t>
  </si>
  <si>
    <t>2025-06-29T01:43:57</t>
  </si>
  <si>
    <t>T0088</t>
  </si>
  <si>
    <t>2025-06-29T17:42:45</t>
  </si>
  <si>
    <t>C004</t>
  </si>
  <si>
    <t>C005</t>
  </si>
  <si>
    <t>n_purchases_total</t>
  </si>
  <si>
    <t>P(X=0)</t>
  </si>
  <si>
    <t>P(X≥1)</t>
  </si>
  <si>
    <t>Controls heterogeneity across customers (lower = more diverse)</t>
  </si>
  <si>
    <t>Inverse of the mean purchase rate.</t>
  </si>
  <si>
    <t>Average number of category purchases per customer.</t>
  </si>
  <si>
    <t>r</t>
  </si>
  <si>
    <t>x</t>
  </si>
  <si>
    <t>P(X=x)</t>
  </si>
  <si>
    <t>sum</t>
  </si>
  <si>
    <t>actual</t>
  </si>
  <si>
    <t>n_customers</t>
  </si>
  <si>
    <t>α</t>
  </si>
  <si>
    <t>Observed penetration</t>
  </si>
  <si>
    <t>E[X∣X≥1</t>
  </si>
  <si>
    <t>Expected repeat rate (average n purchases among those who bought at least once)</t>
  </si>
  <si>
    <t>brands</t>
  </si>
  <si>
    <t>buyers</t>
  </si>
  <si>
    <t>total_purchases</t>
  </si>
  <si>
    <t>market_share</t>
  </si>
  <si>
    <t>average_freq</t>
  </si>
  <si>
    <t>actual_penetration</t>
  </si>
  <si>
    <t>sorted_brands</t>
  </si>
  <si>
    <t>Duplication matrix</t>
  </si>
  <si>
    <t>customers who buy:</t>
  </si>
  <si>
    <t>also buy:</t>
  </si>
  <si>
    <t>buyers of:</t>
  </si>
  <si>
    <t>alpha_i</t>
  </si>
  <si>
    <t>alpha_0</t>
  </si>
  <si>
    <t>Total Dirichlet scale alpha_0</t>
  </si>
  <si>
    <t>r_shape</t>
  </si>
  <si>
    <t>alpha_scale</t>
  </si>
  <si>
    <t>variance_cat</t>
  </si>
  <si>
    <t>mean_cat</t>
  </si>
  <si>
    <t xml:space="preserve">notes: </t>
  </si>
  <si>
    <t>NBD_predicted_P is an Heuristic (binomial-ish). Not reliable.</t>
  </si>
  <si>
    <t>S_i: Brand-specific estimate of Dirichlet concentration from observed penetration.</t>
  </si>
  <si>
    <t>s_hat</t>
  </si>
  <si>
    <t>s_i</t>
  </si>
  <si>
    <r>
      <t xml:space="preserve">This version uses </t>
    </r>
    <r>
      <rPr>
        <b/>
        <sz val="11"/>
        <color theme="1"/>
        <rFont val="Aptos Narrow"/>
        <family val="2"/>
        <scheme val="minor"/>
      </rPr>
      <t>α₀ = r × α</t>
    </r>
    <r>
      <rPr>
        <sz val="11"/>
        <color theme="1"/>
        <rFont val="Aptos Narrow"/>
        <family val="2"/>
        <scheme val="minor"/>
      </rPr>
      <t xml:space="preserve">, where </t>
    </r>
    <r>
      <rPr>
        <sz val="10"/>
        <color theme="1"/>
        <rFont val="Arial Unicode MS"/>
      </rPr>
      <t>r</t>
    </r>
    <r>
      <rPr>
        <sz val="11"/>
        <color theme="1"/>
        <rFont val="Aptos Narrow"/>
        <family val="2"/>
        <scheme val="minor"/>
      </rPr>
      <t xml:space="preserve"> and </t>
    </r>
    <r>
      <rPr>
        <sz val="10"/>
        <color theme="1"/>
        <rFont val="Arial Unicode MS"/>
      </rPr>
      <t>α</t>
    </r>
    <r>
      <rPr>
        <sz val="11"/>
        <color theme="1"/>
        <rFont val="Aptos Narrow"/>
        <family val="2"/>
        <scheme val="minor"/>
      </rPr>
      <t xml:space="preserve"> come from your </t>
    </r>
    <r>
      <rPr>
        <b/>
        <sz val="11"/>
        <color theme="1"/>
        <rFont val="Aptos Narrow"/>
        <family val="2"/>
        <scheme val="minor"/>
      </rPr>
      <t>category-level NBD</t>
    </r>
    <r>
      <rPr>
        <sz val="11"/>
        <color theme="1"/>
        <rFont val="Aptos Narrow"/>
        <family val="2"/>
        <scheme val="minor"/>
      </rPr>
      <t>.</t>
    </r>
  </si>
  <si>
    <r>
      <t xml:space="preserve">It’s a </t>
    </r>
    <r>
      <rPr>
        <b/>
        <sz val="11"/>
        <color theme="1"/>
        <rFont val="Aptos Narrow"/>
        <family val="2"/>
        <scheme val="minor"/>
      </rPr>
      <t>pure theoretical prediction</t>
    </r>
    <r>
      <rPr>
        <sz val="11"/>
        <color theme="1"/>
        <rFont val="Aptos Narrow"/>
        <family val="2"/>
        <scheme val="minor"/>
      </rPr>
      <t>, assuming the Dirichlet parameters are directly linked to the NBD parameters.</t>
    </r>
  </si>
  <si>
    <t>No brand-level data are needed except market share.</t>
  </si>
  <si>
    <t>Theoretical_Dirichlet_P</t>
  </si>
  <si>
    <t>Calibrated_Dirichlet_P</t>
  </si>
  <si>
    <t>NBD_P</t>
  </si>
  <si>
    <r>
      <t xml:space="preserve">This version replaces the theoretical α₀ with an </t>
    </r>
    <r>
      <rPr>
        <b/>
        <sz val="11"/>
        <color theme="1"/>
        <rFont val="Aptos Narrow"/>
        <family val="2"/>
        <scheme val="minor"/>
      </rPr>
      <t>empirical concentration parameter</t>
    </r>
    <r>
      <rPr>
        <sz val="11"/>
        <color theme="1"/>
        <rFont val="Aptos Narrow"/>
        <family val="2"/>
        <scheme val="minor"/>
      </rPr>
      <t xml:space="preserve">, S^\hat{S}S^, estimated from observed brand penetrations (using your </t>
    </r>
    <r>
      <rPr>
        <sz val="10"/>
        <color theme="1"/>
        <rFont val="Arial Unicode MS"/>
      </rPr>
      <t>S_i</t>
    </r>
    <r>
      <rPr>
        <sz val="11"/>
        <color theme="1"/>
        <rFont val="Aptos Narrow"/>
        <family val="2"/>
        <scheme val="minor"/>
      </rPr>
      <t xml:space="preserve"> column).</t>
    </r>
  </si>
  <si>
    <r>
      <t xml:space="preserve">It’s a </t>
    </r>
    <r>
      <rPr>
        <b/>
        <sz val="11"/>
        <color theme="1"/>
        <rFont val="Aptos Narrow"/>
        <family val="2"/>
        <scheme val="minor"/>
      </rPr>
      <t>calibrated Dirichlet</t>
    </r>
    <r>
      <rPr>
        <sz val="11"/>
        <color theme="1"/>
        <rFont val="Aptos Narrow"/>
        <family val="2"/>
        <scheme val="minor"/>
      </rPr>
      <t xml:space="preserve"> — the same structure, but fine-tuned to your dataset.</t>
    </r>
  </si>
  <si>
    <t>RMSE</t>
  </si>
  <si>
    <t>z_i</t>
  </si>
  <si>
    <t>Dirichlet-based duplication of purchase</t>
  </si>
  <si>
    <t>durian</t>
  </si>
  <si>
    <t>Empirical duplication of purchase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</si>
</sst>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rial Unicode MS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14" fontId="3" fillId="0" borderId="0" xfId="0" applyNumberFormat="1" applyFont="1"/>
    <xf numFmtId="2" fontId="3" fillId="0" borderId="0" xfId="0" applyNumberFormat="1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164" fontId="3" fillId="0" borderId="0" xfId="0" applyNumberFormat="1" applyFont="1"/>
    <xf numFmtId="164" fontId="4" fillId="0" borderId="0" xfId="0" applyNumberFormat="1" applyFont="1"/>
    <xf numFmtId="0" fontId="5" fillId="0" borderId="1" xfId="0" applyFont="1" applyBorder="1"/>
    <xf numFmtId="0" fontId="4" fillId="0" borderId="1" xfId="0" applyFont="1" applyBorder="1"/>
    <xf numFmtId="165" fontId="3" fillId="0" borderId="0" xfId="0" applyNumberFormat="1" applyFont="1"/>
    <xf numFmtId="9" fontId="3" fillId="0" borderId="0" xfId="1" applyFont="1"/>
    <xf numFmtId="0" fontId="6" fillId="0" borderId="0" xfId="0" applyFont="1"/>
    <xf numFmtId="10" fontId="3" fillId="0" borderId="0" xfId="1" applyNumberFormat="1" applyFont="1"/>
    <xf numFmtId="0" fontId="4" fillId="0" borderId="2" xfId="0" applyFont="1" applyBorder="1"/>
    <xf numFmtId="9" fontId="0" fillId="0" borderId="0" xfId="1" applyFont="1"/>
    <xf numFmtId="0" fontId="9" fillId="0" borderId="0" xfId="0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NBD probabilities: theoretical Vs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NBD_probabilities!$B$5</c:f>
              <c:strCache>
                <c:ptCount val="1"/>
                <c:pt idx="0">
                  <c:v>P(X=x)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NBD_probabilities!$A$6:$A$27</c:f>
              <c:numCache>
                <c:formatCode>General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NBD_probabilities!$B$6:$B$27</c:f>
              <c:numCache>
                <c:formatCode>0.00000</c:formatCode>
                <c:ptCount val="22"/>
                <c:pt idx="0">
                  <c:v>7.8191847573035933E-2</c:v>
                </c:pt>
                <c:pt idx="1">
                  <c:v>0.13466373748689517</c:v>
                </c:pt>
                <c:pt idx="2">
                  <c:v>0.15430219920373406</c:v>
                </c:pt>
                <c:pt idx="3">
                  <c:v>0.14715857887022782</c:v>
                </c:pt>
                <c:pt idx="4">
                  <c:v>0.12620892007273013</c:v>
                </c:pt>
                <c:pt idx="5">
                  <c:v>0.10096713605818411</c:v>
                </c:pt>
                <c:pt idx="6">
                  <c:v>7.6893953155422592E-2</c:v>
                </c:pt>
                <c:pt idx="7">
                  <c:v>5.6449925927592001E-2</c:v>
                </c:pt>
                <c:pt idx="8">
                  <c:v>4.0279374229583852E-2</c:v>
                </c:pt>
                <c:pt idx="9">
                  <c:v>2.8096106715697389E-2</c:v>
                </c:pt>
                <c:pt idx="10">
                  <c:v>1.9238028626165027E-2</c:v>
                </c:pt>
                <c:pt idx="11">
                  <c:v>1.2971095058550658E-2</c:v>
                </c:pt>
                <c:pt idx="12">
                  <c:v>8.6323838641974883E-3</c:v>
                </c:pt>
                <c:pt idx="13">
                  <c:v>5.681141517463302E-3</c:v>
                </c:pt>
                <c:pt idx="14">
                  <c:v>3.7028868819180484E-3</c:v>
                </c:pt>
                <c:pt idx="15">
                  <c:v>2.3931620773877753E-3</c:v>
                </c:pt>
                <c:pt idx="16">
                  <c:v>1.5351968534631649E-3</c:v>
                </c:pt>
                <c:pt idx="17">
                  <c:v>9.78311720344174E-4</c:v>
                </c:pt>
                <c:pt idx="18">
                  <c:v>6.1974839691556123E-4</c:v>
                </c:pt>
                <c:pt idx="19">
                  <c:v>3.9051397524942467E-4</c:v>
                </c:pt>
                <c:pt idx="20">
                  <c:v>2.4488480531266042E-4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68-44DE-AA59-ED1FBFAE1B26}"/>
            </c:ext>
          </c:extLst>
        </c:ser>
        <c:ser>
          <c:idx val="1"/>
          <c:order val="1"/>
          <c:tx>
            <c:strRef>
              <c:f>NBD_probabilities!$C$5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NBD_probabilities!$A$6:$A$27</c:f>
              <c:numCache>
                <c:formatCode>General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NBD_probabilities!$C$6:$C$27</c:f>
              <c:numCache>
                <c:formatCode>0.00000</c:formatCode>
                <c:ptCount val="22"/>
                <c:pt idx="0">
                  <c:v>6.25E-2</c:v>
                </c:pt>
                <c:pt idx="1">
                  <c:v>0.125</c:v>
                </c:pt>
                <c:pt idx="2">
                  <c:v>0.25</c:v>
                </c:pt>
                <c:pt idx="3">
                  <c:v>0.125</c:v>
                </c:pt>
                <c:pt idx="4">
                  <c:v>9.375E-2</c:v>
                </c:pt>
                <c:pt idx="5">
                  <c:v>0</c:v>
                </c:pt>
                <c:pt idx="6">
                  <c:v>0.15625</c:v>
                </c:pt>
                <c:pt idx="7">
                  <c:v>6.25E-2</c:v>
                </c:pt>
                <c:pt idx="8">
                  <c:v>0</c:v>
                </c:pt>
                <c:pt idx="9">
                  <c:v>3.125E-2</c:v>
                </c:pt>
                <c:pt idx="10">
                  <c:v>6.25E-2</c:v>
                </c:pt>
                <c:pt idx="11">
                  <c:v>3.125E-2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68-44DE-AA59-ED1FBFAE1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4806800"/>
        <c:axId val="424807760"/>
      </c:lineChart>
      <c:catAx>
        <c:axId val="42480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807760"/>
        <c:crosses val="autoZero"/>
        <c:auto val="1"/>
        <c:lblAlgn val="ctr"/>
        <c:lblOffset val="100"/>
        <c:noMultiLvlLbl val="0"/>
      </c:catAx>
      <c:valAx>
        <c:axId val="42480776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  <a:alpha val="57000"/>
                </a:schemeClr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80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Brand Penetration: predicted Vs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brand_summary!$J$2</c:f>
              <c:strCache>
                <c:ptCount val="1"/>
                <c:pt idx="0">
                  <c:v>NBD_P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brand_summary!$A$3:$A$6</c:f>
              <c:strCache>
                <c:ptCount val="4"/>
                <c:pt idx="0">
                  <c:v>apple</c:v>
                </c:pt>
                <c:pt idx="1">
                  <c:v>banana</c:v>
                </c:pt>
                <c:pt idx="2">
                  <c:v>cherry</c:v>
                </c:pt>
                <c:pt idx="3">
                  <c:v>durian</c:v>
                </c:pt>
              </c:strCache>
            </c:strRef>
          </c:cat>
          <c:val>
            <c:numRef>
              <c:f>brand_summary!$J$3:$J$6</c:f>
              <c:numCache>
                <c:formatCode>0%</c:formatCode>
                <c:ptCount val="4"/>
                <c:pt idx="0">
                  <c:v>0.59413397049706895</c:v>
                </c:pt>
                <c:pt idx="1">
                  <c:v>0.75864210145401312</c:v>
                </c:pt>
                <c:pt idx="2">
                  <c:v>0.45066164442514878</c:v>
                </c:pt>
                <c:pt idx="3">
                  <c:v>0.46633259390130655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ED-4537-9844-0B1AFE315A3D}"/>
            </c:ext>
          </c:extLst>
        </c:ser>
        <c:ser>
          <c:idx val="1"/>
          <c:order val="1"/>
          <c:tx>
            <c:strRef>
              <c:f>brand_summary!$K$2</c:f>
              <c:strCache>
                <c:ptCount val="1"/>
                <c:pt idx="0">
                  <c:v>Theoretical_Dirichlet_P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brand_summary!$A$3:$A$6</c:f>
              <c:strCache>
                <c:ptCount val="4"/>
                <c:pt idx="0">
                  <c:v>apple</c:v>
                </c:pt>
                <c:pt idx="1">
                  <c:v>banana</c:v>
                </c:pt>
                <c:pt idx="2">
                  <c:v>cherry</c:v>
                </c:pt>
                <c:pt idx="3">
                  <c:v>durian</c:v>
                </c:pt>
              </c:strCache>
            </c:strRef>
          </c:cat>
          <c:val>
            <c:numRef>
              <c:f>brand_summary!$K$3:$K$6</c:f>
              <c:numCache>
                <c:formatCode>0%</c:formatCode>
                <c:ptCount val="4"/>
                <c:pt idx="0">
                  <c:v>0.4503968799236634</c:v>
                </c:pt>
                <c:pt idx="1">
                  <c:v>0.60348683383203361</c:v>
                </c:pt>
                <c:pt idx="2">
                  <c:v>0.4250400335702732</c:v>
                </c:pt>
                <c:pt idx="3">
                  <c:v>0.36825111296078927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ED-4537-9844-0B1AFE315A3D}"/>
            </c:ext>
          </c:extLst>
        </c:ser>
        <c:ser>
          <c:idx val="2"/>
          <c:order val="2"/>
          <c:tx>
            <c:strRef>
              <c:f>brand_summary!$L$2</c:f>
              <c:strCache>
                <c:ptCount val="1"/>
                <c:pt idx="0">
                  <c:v>Calibrated_Dirichlet_P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brand_summary!$A$3:$A$6</c:f>
              <c:strCache>
                <c:ptCount val="4"/>
                <c:pt idx="0">
                  <c:v>apple</c:v>
                </c:pt>
                <c:pt idx="1">
                  <c:v>banana</c:v>
                </c:pt>
                <c:pt idx="2">
                  <c:v>cherry</c:v>
                </c:pt>
                <c:pt idx="3">
                  <c:v>durian</c:v>
                </c:pt>
              </c:strCache>
            </c:strRef>
          </c:cat>
          <c:val>
            <c:numRef>
              <c:f>brand_summary!$L$3:$L$6</c:f>
              <c:numCache>
                <c:formatCode>0%</c:formatCode>
                <c:ptCount val="4"/>
                <c:pt idx="0">
                  <c:v>0.47257724973384474</c:v>
                </c:pt>
                <c:pt idx="1">
                  <c:v>0.58980033158280698</c:v>
                </c:pt>
                <c:pt idx="2">
                  <c:v>0.36857072176355321</c:v>
                </c:pt>
                <c:pt idx="3">
                  <c:v>0.38013737242704693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ED-4537-9844-0B1AFE315A3D}"/>
            </c:ext>
          </c:extLst>
        </c:ser>
        <c:ser>
          <c:idx val="3"/>
          <c:order val="3"/>
          <c:tx>
            <c:strRef>
              <c:f>brand_summary!$M$2</c:f>
              <c:strCache>
                <c:ptCount val="1"/>
                <c:pt idx="0">
                  <c:v>actual_penetration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brand_summary!$A$3:$A$6</c:f>
              <c:strCache>
                <c:ptCount val="4"/>
                <c:pt idx="0">
                  <c:v>apple</c:v>
                </c:pt>
                <c:pt idx="1">
                  <c:v>banana</c:v>
                </c:pt>
                <c:pt idx="2">
                  <c:v>cherry</c:v>
                </c:pt>
                <c:pt idx="3">
                  <c:v>durian</c:v>
                </c:pt>
              </c:strCache>
            </c:strRef>
          </c:cat>
          <c:val>
            <c:numRef>
              <c:f>brand_summary!$M$3:$M$6</c:f>
              <c:numCache>
                <c:formatCode>0%</c:formatCode>
                <c:ptCount val="4"/>
                <c:pt idx="0">
                  <c:v>0.53125</c:v>
                </c:pt>
                <c:pt idx="1">
                  <c:v>0.6875</c:v>
                </c:pt>
                <c:pt idx="2">
                  <c:v>0.28125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ED-4537-9844-0B1AFE315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1923903"/>
        <c:axId val="1921924863"/>
      </c:barChart>
      <c:catAx>
        <c:axId val="192192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924863"/>
        <c:crosses val="autoZero"/>
        <c:auto val="1"/>
        <c:lblAlgn val="ctr"/>
        <c:lblOffset val="100"/>
        <c:noMultiLvlLbl val="0"/>
      </c:catAx>
      <c:valAx>
        <c:axId val="1921924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923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r"/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502920</xdr:colOff>
      <xdr:row>1</xdr:row>
      <xdr:rowOff>7620</xdr:rowOff>
    </xdr:from>
    <xdr:to>
      <xdr:col>2</xdr:col>
      <xdr:colOff>2209800</xdr:colOff>
      <xdr:row>4</xdr:row>
      <xdr:rowOff>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AF1D98EA-F439-664B-71D5-E554153DD391}"/>
            </a:ext>
          </a:extLst>
        </xdr:cNvPr>
        <xdr:cNvSpPr/>
      </xdr:nvSpPr>
      <xdr:spPr>
        <a:xfrm>
          <a:off x="2567940" y="205740"/>
          <a:ext cx="1706880" cy="586740"/>
        </a:xfrm>
        <a:prstGeom prst="wedgeRoundRectCallout">
          <a:avLst>
            <a:gd name="adj1" fmla="val -69439"/>
            <a:gd name="adj2" fmla="val -44231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Number of category</a:t>
          </a:r>
          <a:r>
            <a:rPr lang="en-AU" sz="1100" baseline="0"/>
            <a:t> purchases per customer</a:t>
          </a:r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493394</xdr:colOff>
      <xdr:row>3</xdr:row>
      <xdr:rowOff>194310</xdr:rowOff>
    </xdr:from>
    <xdr:to>
      <xdr:col>14</xdr:col>
      <xdr:colOff>266699</xdr:colOff>
      <xdr:row>26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FA85E20-281F-166E-DE48-F2C7C78AA1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525780</xdr:colOff>
      <xdr:row>0</xdr:row>
      <xdr:rowOff>83820</xdr:rowOff>
    </xdr:from>
    <xdr:to>
      <xdr:col>7</xdr:col>
      <xdr:colOff>45720</xdr:colOff>
      <xdr:row>3</xdr:row>
      <xdr:rowOff>38100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E57CB9E3-6A0D-AB21-C6A6-0C9B6CF042B6}"/>
            </a:ext>
          </a:extLst>
        </xdr:cNvPr>
        <xdr:cNvSpPr/>
      </xdr:nvSpPr>
      <xdr:spPr>
        <a:xfrm>
          <a:off x="1996440" y="83820"/>
          <a:ext cx="1958340" cy="548640"/>
        </a:xfrm>
        <a:prstGeom prst="wedgeRoundRectCallout">
          <a:avLst>
            <a:gd name="adj1" fmla="val -102108"/>
            <a:gd name="adj2" fmla="val -427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From "customer_summary" worksheet</a:t>
          </a:r>
        </a:p>
        <a:p>
          <a:pPr algn="l"/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9</xdr:row>
      <xdr:rowOff>7619</xdr:rowOff>
    </xdr:from>
    <xdr:to>
      <xdr:col>13</xdr:col>
      <xdr:colOff>15240</xdr:colOff>
      <xdr:row>31</xdr:row>
      <xdr:rowOff>47624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113A2-DE7B-FFCF-4D80-A92A00BB09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08E0E-2D70-4D77-958D-39462461CE6C}">
  <dimension ref="A1:G129"/>
  <sheetViews>
    <sheetView workbookViewId="0">
      <selection activeCell="B129" sqref="B129"/>
    </sheetView>
  </sheetViews>
  <sheetFormatPr defaultColWidth="8.85546875" defaultRowHeight="15.75"/>
  <cols>
    <col min="1" max="1" width="8.42578125" style="1" bestFit="1" customWidth="1"/>
    <col min="2" max="2" width="20.28515625" style="1" bestFit="1" customWidth="1"/>
    <col min="3" max="3" width="12.42578125" style="1" bestFit="1" customWidth="1"/>
    <col min="4" max="4" width="7.7109375" style="1" bestFit="1" customWidth="1"/>
    <col min="5" max="5" width="8.7109375" style="1" bestFit="1" customWidth="1"/>
    <col min="6" max="6" width="5.7109375" style="1" bestFit="1" customWidth="1"/>
    <col min="7" max="7" width="6.7109375" style="1" bestFit="1" customWidth="1"/>
    <col min="8" max="16384" width="8.85546875" style="1"/>
  </cols>
  <sheetData>
    <row r="1" spans="1:7">
      <c r="A1" s="10" t="s">
        <v>40</v>
      </c>
      <c r="B1" s="10" t="s">
        <v>41</v>
      </c>
      <c r="C1" s="10" t="s">
        <v>0</v>
      </c>
      <c r="D1" s="10" t="s">
        <v>1</v>
      </c>
      <c r="E1" s="10" t="s">
        <v>42</v>
      </c>
      <c r="F1" s="10" t="s">
        <v>43</v>
      </c>
      <c r="G1" s="10" t="s">
        <v>44</v>
      </c>
    </row>
    <row r="2" spans="1:7">
      <c r="A2" s="1" t="s">
        <v>45</v>
      </c>
      <c r="B2" s="1" t="s">
        <v>46</v>
      </c>
      <c r="C2" s="1" t="s">
        <v>26</v>
      </c>
      <c r="D2" s="1" t="s">
        <v>12</v>
      </c>
      <c r="E2" s="1">
        <v>1</v>
      </c>
      <c r="F2" s="1">
        <v>3.24</v>
      </c>
      <c r="G2" s="1">
        <v>3.24</v>
      </c>
    </row>
    <row r="3" spans="1:7">
      <c r="A3" s="1" t="s">
        <v>47</v>
      </c>
      <c r="B3" s="1" t="s">
        <v>48</v>
      </c>
      <c r="C3" s="1" t="s">
        <v>36</v>
      </c>
      <c r="D3" s="1" t="s">
        <v>353</v>
      </c>
      <c r="E3" s="1">
        <v>1</v>
      </c>
      <c r="F3" s="1">
        <v>4.9000000000000004</v>
      </c>
      <c r="G3" s="1">
        <v>4.9000000000000004</v>
      </c>
    </row>
    <row r="4" spans="1:7">
      <c r="A4" s="1" t="s">
        <v>49</v>
      </c>
      <c r="B4" s="1" t="s">
        <v>50</v>
      </c>
      <c r="C4" s="1" t="s">
        <v>39</v>
      </c>
      <c r="D4" s="1" t="s">
        <v>12</v>
      </c>
      <c r="E4" s="1">
        <v>1</v>
      </c>
      <c r="F4" s="1">
        <v>3.14</v>
      </c>
      <c r="G4" s="1">
        <v>3.14</v>
      </c>
    </row>
    <row r="5" spans="1:7">
      <c r="A5" s="1" t="s">
        <v>51</v>
      </c>
      <c r="B5" s="1" t="s">
        <v>52</v>
      </c>
      <c r="C5" s="1" t="s">
        <v>21</v>
      </c>
      <c r="D5" s="1" t="s">
        <v>12</v>
      </c>
      <c r="E5" s="1">
        <v>1</v>
      </c>
      <c r="F5" s="1">
        <v>3.47</v>
      </c>
      <c r="G5" s="1">
        <v>3.47</v>
      </c>
    </row>
    <row r="6" spans="1:7">
      <c r="A6" s="1" t="s">
        <v>53</v>
      </c>
      <c r="B6" s="1" t="s">
        <v>54</v>
      </c>
      <c r="C6" s="1" t="s">
        <v>35</v>
      </c>
      <c r="D6" s="1" t="s">
        <v>353</v>
      </c>
      <c r="E6" s="1">
        <v>1</v>
      </c>
      <c r="F6" s="1">
        <v>4.7</v>
      </c>
      <c r="G6" s="1">
        <v>4.7</v>
      </c>
    </row>
    <row r="7" spans="1:7">
      <c r="A7" s="1" t="s">
        <v>55</v>
      </c>
      <c r="B7" s="1" t="s">
        <v>56</v>
      </c>
      <c r="C7" s="1" t="s">
        <v>28</v>
      </c>
      <c r="D7" s="1" t="s">
        <v>353</v>
      </c>
      <c r="E7" s="1">
        <v>1</v>
      </c>
      <c r="F7" s="1">
        <v>5.12</v>
      </c>
      <c r="G7" s="1">
        <v>5.12</v>
      </c>
    </row>
    <row r="8" spans="1:7">
      <c r="A8" s="1" t="s">
        <v>57</v>
      </c>
      <c r="B8" s="1" t="s">
        <v>58</v>
      </c>
      <c r="C8" s="1" t="s">
        <v>32</v>
      </c>
      <c r="D8" s="1" t="s">
        <v>12</v>
      </c>
      <c r="E8" s="1">
        <v>1</v>
      </c>
      <c r="F8" s="1">
        <v>2.97</v>
      </c>
      <c r="G8" s="1">
        <v>2.97</v>
      </c>
    </row>
    <row r="9" spans="1:7">
      <c r="A9" s="1" t="s">
        <v>59</v>
      </c>
      <c r="B9" s="1" t="s">
        <v>60</v>
      </c>
      <c r="C9" s="1" t="s">
        <v>38</v>
      </c>
      <c r="D9" s="1" t="s">
        <v>12</v>
      </c>
      <c r="E9" s="1">
        <v>1</v>
      </c>
      <c r="F9" s="1">
        <v>2.98</v>
      </c>
      <c r="G9" s="1">
        <v>2.98</v>
      </c>
    </row>
    <row r="10" spans="1:7">
      <c r="A10" s="1" t="s">
        <v>61</v>
      </c>
      <c r="B10" s="1" t="s">
        <v>62</v>
      </c>
      <c r="C10" s="1" t="s">
        <v>11</v>
      </c>
      <c r="D10" s="1" t="s">
        <v>8</v>
      </c>
      <c r="E10" s="1">
        <v>1</v>
      </c>
      <c r="F10" s="1">
        <v>2.89</v>
      </c>
      <c r="G10" s="1">
        <v>2.89</v>
      </c>
    </row>
    <row r="11" spans="1:7">
      <c r="A11" s="1" t="s">
        <v>63</v>
      </c>
      <c r="B11" s="1" t="s">
        <v>64</v>
      </c>
      <c r="C11" s="1" t="s">
        <v>9</v>
      </c>
      <c r="D11" s="1" t="s">
        <v>8</v>
      </c>
      <c r="E11" s="1">
        <v>1</v>
      </c>
      <c r="F11" s="1">
        <v>2.73</v>
      </c>
      <c r="G11" s="1">
        <v>2.73</v>
      </c>
    </row>
    <row r="12" spans="1:7">
      <c r="A12" s="1" t="s">
        <v>65</v>
      </c>
      <c r="B12" s="1" t="s">
        <v>66</v>
      </c>
      <c r="C12" s="1" t="s">
        <v>19</v>
      </c>
      <c r="D12" s="1" t="s">
        <v>15</v>
      </c>
      <c r="E12" s="1">
        <v>1</v>
      </c>
      <c r="F12" s="1">
        <v>3.9</v>
      </c>
      <c r="G12" s="1">
        <v>3.9</v>
      </c>
    </row>
    <row r="13" spans="1:7">
      <c r="A13" s="1" t="s">
        <v>67</v>
      </c>
      <c r="B13" s="1" t="s">
        <v>68</v>
      </c>
      <c r="C13" s="1" t="s">
        <v>38</v>
      </c>
      <c r="D13" s="1" t="s">
        <v>353</v>
      </c>
      <c r="E13" s="1">
        <v>1</v>
      </c>
      <c r="F13" s="1">
        <v>5.34</v>
      </c>
      <c r="G13" s="1">
        <v>5.34</v>
      </c>
    </row>
    <row r="14" spans="1:7">
      <c r="A14" s="1" t="s">
        <v>69</v>
      </c>
      <c r="B14" s="1" t="s">
        <v>70</v>
      </c>
      <c r="C14" s="1" t="s">
        <v>35</v>
      </c>
      <c r="D14" s="1" t="s">
        <v>353</v>
      </c>
      <c r="E14" s="1">
        <v>1</v>
      </c>
      <c r="F14" s="1">
        <v>5</v>
      </c>
      <c r="G14" s="1">
        <v>5</v>
      </c>
    </row>
    <row r="15" spans="1:7">
      <c r="A15" s="1" t="s">
        <v>71</v>
      </c>
      <c r="B15" s="1" t="s">
        <v>72</v>
      </c>
      <c r="C15" s="1" t="s">
        <v>24</v>
      </c>
      <c r="D15" s="1" t="s">
        <v>353</v>
      </c>
      <c r="E15" s="1">
        <v>1</v>
      </c>
      <c r="F15" s="1">
        <v>4.95</v>
      </c>
      <c r="G15" s="1">
        <v>4.95</v>
      </c>
    </row>
    <row r="16" spans="1:7">
      <c r="A16" s="1" t="s">
        <v>73</v>
      </c>
      <c r="B16" s="1" t="s">
        <v>74</v>
      </c>
      <c r="C16" s="1" t="s">
        <v>33</v>
      </c>
      <c r="D16" s="1" t="s">
        <v>353</v>
      </c>
      <c r="E16" s="1">
        <v>2</v>
      </c>
      <c r="F16" s="1">
        <v>4.82</v>
      </c>
      <c r="G16" s="1">
        <v>9.64</v>
      </c>
    </row>
    <row r="17" spans="1:7">
      <c r="A17" s="1" t="s">
        <v>75</v>
      </c>
      <c r="B17" s="1" t="s">
        <v>76</v>
      </c>
      <c r="C17" s="1" t="s">
        <v>35</v>
      </c>
      <c r="D17" s="1" t="s">
        <v>353</v>
      </c>
      <c r="E17" s="1">
        <v>1</v>
      </c>
      <c r="F17" s="1">
        <v>4.92</v>
      </c>
      <c r="G17" s="1">
        <v>4.92</v>
      </c>
    </row>
    <row r="18" spans="1:7">
      <c r="A18" s="1" t="s">
        <v>77</v>
      </c>
      <c r="B18" s="1" t="s">
        <v>78</v>
      </c>
      <c r="C18" s="1" t="s">
        <v>36</v>
      </c>
      <c r="D18" s="1" t="s">
        <v>8</v>
      </c>
      <c r="E18" s="1">
        <v>1</v>
      </c>
      <c r="F18" s="1">
        <v>2.48</v>
      </c>
      <c r="G18" s="1">
        <v>2.48</v>
      </c>
    </row>
    <row r="19" spans="1:7">
      <c r="A19" s="1" t="s">
        <v>79</v>
      </c>
      <c r="B19" s="1" t="s">
        <v>80</v>
      </c>
      <c r="C19" s="1" t="s">
        <v>38</v>
      </c>
      <c r="D19" s="1" t="s">
        <v>15</v>
      </c>
      <c r="E19" s="1">
        <v>1</v>
      </c>
      <c r="F19" s="1">
        <v>4.0999999999999996</v>
      </c>
      <c r="G19" s="1">
        <v>4.0999999999999996</v>
      </c>
    </row>
    <row r="20" spans="1:7">
      <c r="A20" s="1" t="s">
        <v>81</v>
      </c>
      <c r="B20" s="1" t="s">
        <v>82</v>
      </c>
      <c r="C20" s="1" t="s">
        <v>26</v>
      </c>
      <c r="D20" s="1" t="s">
        <v>12</v>
      </c>
      <c r="E20" s="1">
        <v>1</v>
      </c>
      <c r="F20" s="1">
        <v>2.84</v>
      </c>
      <c r="G20" s="1">
        <v>2.84</v>
      </c>
    </row>
    <row r="21" spans="1:7">
      <c r="A21" s="1" t="s">
        <v>83</v>
      </c>
      <c r="B21" s="1" t="s">
        <v>84</v>
      </c>
      <c r="C21" s="1" t="s">
        <v>36</v>
      </c>
      <c r="D21" s="1" t="s">
        <v>353</v>
      </c>
      <c r="E21" s="1">
        <v>1</v>
      </c>
      <c r="F21" s="1">
        <v>5.1100000000000003</v>
      </c>
      <c r="G21" s="1">
        <v>5.1100000000000003</v>
      </c>
    </row>
    <row r="22" spans="1:7">
      <c r="A22" s="1" t="s">
        <v>85</v>
      </c>
      <c r="B22" s="1" t="s">
        <v>86</v>
      </c>
      <c r="C22" s="1" t="s">
        <v>25</v>
      </c>
      <c r="D22" s="1" t="s">
        <v>12</v>
      </c>
      <c r="E22" s="1">
        <v>2</v>
      </c>
      <c r="F22" s="1">
        <v>2.66</v>
      </c>
      <c r="G22" s="1">
        <v>5.32</v>
      </c>
    </row>
    <row r="23" spans="1:7">
      <c r="A23" s="1" t="s">
        <v>87</v>
      </c>
      <c r="B23" s="1" t="s">
        <v>88</v>
      </c>
      <c r="C23" s="1" t="s">
        <v>33</v>
      </c>
      <c r="D23" s="1" t="s">
        <v>8</v>
      </c>
      <c r="E23" s="1">
        <v>1</v>
      </c>
      <c r="F23" s="1">
        <v>2.38</v>
      </c>
      <c r="G23" s="1">
        <v>2.38</v>
      </c>
    </row>
    <row r="24" spans="1:7">
      <c r="A24" s="1" t="s">
        <v>89</v>
      </c>
      <c r="B24" s="1" t="s">
        <v>90</v>
      </c>
      <c r="C24" s="1" t="s">
        <v>37</v>
      </c>
      <c r="D24" s="1" t="s">
        <v>12</v>
      </c>
      <c r="E24" s="1">
        <v>1</v>
      </c>
      <c r="F24" s="1">
        <v>3.03</v>
      </c>
      <c r="G24" s="1">
        <v>3.03</v>
      </c>
    </row>
    <row r="25" spans="1:7">
      <c r="A25" s="1" t="s">
        <v>91</v>
      </c>
      <c r="B25" s="1" t="s">
        <v>92</v>
      </c>
      <c r="C25" s="1" t="s">
        <v>38</v>
      </c>
      <c r="D25" s="1" t="s">
        <v>15</v>
      </c>
      <c r="E25" s="1">
        <v>1</v>
      </c>
      <c r="F25" s="1">
        <v>4.7699999999999996</v>
      </c>
      <c r="G25" s="1">
        <v>4.7699999999999996</v>
      </c>
    </row>
    <row r="26" spans="1:7">
      <c r="A26" s="1" t="s">
        <v>93</v>
      </c>
      <c r="B26" s="1" t="s">
        <v>94</v>
      </c>
      <c r="C26" s="1" t="s">
        <v>11</v>
      </c>
      <c r="D26" s="1" t="s">
        <v>8</v>
      </c>
      <c r="E26" s="1">
        <v>1</v>
      </c>
      <c r="F26" s="1">
        <v>2.15</v>
      </c>
      <c r="G26" s="1">
        <v>2.15</v>
      </c>
    </row>
    <row r="27" spans="1:7">
      <c r="A27" s="1" t="s">
        <v>95</v>
      </c>
      <c r="B27" s="1" t="s">
        <v>96</v>
      </c>
      <c r="C27" s="1" t="s">
        <v>31</v>
      </c>
      <c r="D27" s="1" t="s">
        <v>8</v>
      </c>
      <c r="E27" s="1">
        <v>1</v>
      </c>
      <c r="F27" s="1">
        <v>2.64</v>
      </c>
      <c r="G27" s="1">
        <v>2.64</v>
      </c>
    </row>
    <row r="28" spans="1:7">
      <c r="A28" s="1" t="s">
        <v>97</v>
      </c>
      <c r="B28" s="1" t="s">
        <v>98</v>
      </c>
      <c r="C28" s="1" t="s">
        <v>24</v>
      </c>
      <c r="D28" s="1" t="s">
        <v>15</v>
      </c>
      <c r="E28" s="1">
        <v>1</v>
      </c>
      <c r="F28" s="1">
        <v>4.0599999999999996</v>
      </c>
      <c r="G28" s="1">
        <v>4.0599999999999996</v>
      </c>
    </row>
    <row r="29" spans="1:7">
      <c r="A29" s="1" t="s">
        <v>99</v>
      </c>
      <c r="B29" s="1" t="s">
        <v>100</v>
      </c>
      <c r="C29" s="1" t="s">
        <v>28</v>
      </c>
      <c r="D29" s="1" t="s">
        <v>8</v>
      </c>
      <c r="E29" s="1">
        <v>1</v>
      </c>
      <c r="F29" s="1">
        <v>2.2200000000000002</v>
      </c>
      <c r="G29" s="1">
        <v>2.2200000000000002</v>
      </c>
    </row>
    <row r="30" spans="1:7">
      <c r="A30" s="1" t="s">
        <v>101</v>
      </c>
      <c r="B30" s="1" t="s">
        <v>102</v>
      </c>
      <c r="C30" s="1" t="s">
        <v>19</v>
      </c>
      <c r="D30" s="1" t="s">
        <v>12</v>
      </c>
      <c r="E30" s="1">
        <v>1</v>
      </c>
      <c r="F30" s="1">
        <v>2.74</v>
      </c>
      <c r="G30" s="1">
        <v>2.74</v>
      </c>
    </row>
    <row r="31" spans="1:7">
      <c r="A31" s="1" t="s">
        <v>103</v>
      </c>
      <c r="B31" s="1" t="s">
        <v>104</v>
      </c>
      <c r="C31" s="1" t="s">
        <v>9</v>
      </c>
      <c r="D31" s="1" t="s">
        <v>8</v>
      </c>
      <c r="E31" s="1">
        <v>1</v>
      </c>
      <c r="F31" s="1">
        <v>2.4500000000000002</v>
      </c>
      <c r="G31" s="1">
        <v>2.4500000000000002</v>
      </c>
    </row>
    <row r="32" spans="1:7">
      <c r="A32" s="1" t="s">
        <v>105</v>
      </c>
      <c r="B32" s="1" t="s">
        <v>106</v>
      </c>
      <c r="C32" s="1" t="s">
        <v>36</v>
      </c>
      <c r="D32" s="1" t="s">
        <v>15</v>
      </c>
      <c r="E32" s="1">
        <v>2</v>
      </c>
      <c r="F32" s="1">
        <v>3.74</v>
      </c>
      <c r="G32" s="1">
        <v>7.48</v>
      </c>
    </row>
    <row r="33" spans="1:7">
      <c r="A33" s="1" t="s">
        <v>107</v>
      </c>
      <c r="B33" s="1" t="s">
        <v>108</v>
      </c>
      <c r="C33" s="1" t="s">
        <v>37</v>
      </c>
      <c r="D33" s="1" t="s">
        <v>12</v>
      </c>
      <c r="E33" s="1">
        <v>1</v>
      </c>
      <c r="F33" s="1">
        <v>2.85</v>
      </c>
      <c r="G33" s="1">
        <v>2.85</v>
      </c>
    </row>
    <row r="34" spans="1:7">
      <c r="A34" s="1" t="s">
        <v>109</v>
      </c>
      <c r="B34" s="1" t="s">
        <v>110</v>
      </c>
      <c r="C34" s="1" t="s">
        <v>20</v>
      </c>
      <c r="D34" s="1" t="s">
        <v>12</v>
      </c>
      <c r="E34" s="1">
        <v>1</v>
      </c>
      <c r="F34" s="1">
        <v>3.04</v>
      </c>
      <c r="G34" s="1">
        <v>3.04</v>
      </c>
    </row>
    <row r="35" spans="1:7">
      <c r="A35" s="1" t="s">
        <v>111</v>
      </c>
      <c r="B35" s="1" t="s">
        <v>112</v>
      </c>
      <c r="C35" s="1" t="s">
        <v>22</v>
      </c>
      <c r="D35" s="1" t="s">
        <v>8</v>
      </c>
      <c r="E35" s="1">
        <v>1</v>
      </c>
      <c r="F35" s="1">
        <v>2.66</v>
      </c>
      <c r="G35" s="1">
        <v>2.66</v>
      </c>
    </row>
    <row r="36" spans="1:7">
      <c r="A36" s="1" t="s">
        <v>113</v>
      </c>
      <c r="B36" s="1" t="s">
        <v>114</v>
      </c>
      <c r="C36" s="1" t="s">
        <v>19</v>
      </c>
      <c r="D36" s="1" t="s">
        <v>8</v>
      </c>
      <c r="E36" s="1">
        <v>2</v>
      </c>
      <c r="F36" s="1">
        <v>2.36</v>
      </c>
      <c r="G36" s="1">
        <v>4.72</v>
      </c>
    </row>
    <row r="37" spans="1:7">
      <c r="A37" s="1" t="s">
        <v>115</v>
      </c>
      <c r="B37" s="1" t="s">
        <v>116</v>
      </c>
      <c r="C37" s="1" t="s">
        <v>7</v>
      </c>
      <c r="D37" s="1" t="s">
        <v>8</v>
      </c>
      <c r="E37" s="1">
        <v>1</v>
      </c>
      <c r="F37" s="1">
        <v>2.4700000000000002</v>
      </c>
      <c r="G37" s="1">
        <v>2.4700000000000002</v>
      </c>
    </row>
    <row r="38" spans="1:7">
      <c r="A38" s="1" t="s">
        <v>117</v>
      </c>
      <c r="B38" s="1" t="s">
        <v>118</v>
      </c>
      <c r="C38" s="1" t="s">
        <v>34</v>
      </c>
      <c r="D38" s="1" t="s">
        <v>8</v>
      </c>
      <c r="E38" s="1">
        <v>1</v>
      </c>
      <c r="F38" s="1">
        <v>2.31</v>
      </c>
      <c r="G38" s="1">
        <v>2.31</v>
      </c>
    </row>
    <row r="39" spans="1:7">
      <c r="A39" s="1" t="s">
        <v>119</v>
      </c>
      <c r="B39" s="1" t="s">
        <v>120</v>
      </c>
      <c r="C39" s="1" t="s">
        <v>27</v>
      </c>
      <c r="D39" s="1" t="s">
        <v>8</v>
      </c>
      <c r="E39" s="1">
        <v>2</v>
      </c>
      <c r="F39" s="1">
        <v>2.2000000000000002</v>
      </c>
      <c r="G39" s="1">
        <v>4.4000000000000004</v>
      </c>
    </row>
    <row r="40" spans="1:7">
      <c r="A40" s="1" t="s">
        <v>121</v>
      </c>
      <c r="B40" s="1" t="s">
        <v>122</v>
      </c>
      <c r="C40" s="1" t="s">
        <v>13</v>
      </c>
      <c r="D40" s="1" t="s">
        <v>8</v>
      </c>
      <c r="E40" s="1">
        <v>1</v>
      </c>
      <c r="F40" s="1">
        <v>2.6</v>
      </c>
      <c r="G40" s="1">
        <v>2.6</v>
      </c>
    </row>
    <row r="41" spans="1:7">
      <c r="A41" s="1" t="s">
        <v>123</v>
      </c>
      <c r="B41" s="1" t="s">
        <v>124</v>
      </c>
      <c r="C41" s="1" t="s">
        <v>24</v>
      </c>
      <c r="D41" s="1" t="s">
        <v>15</v>
      </c>
      <c r="E41" s="1">
        <v>1</v>
      </c>
      <c r="F41" s="1">
        <v>3.78</v>
      </c>
      <c r="G41" s="1">
        <v>3.78</v>
      </c>
    </row>
    <row r="42" spans="1:7">
      <c r="A42" s="1" t="s">
        <v>125</v>
      </c>
      <c r="B42" s="1" t="s">
        <v>126</v>
      </c>
      <c r="C42" s="1" t="s">
        <v>19</v>
      </c>
      <c r="D42" s="1" t="s">
        <v>12</v>
      </c>
      <c r="E42" s="1">
        <v>1</v>
      </c>
      <c r="F42" s="1">
        <v>2.4700000000000002</v>
      </c>
      <c r="G42" s="1">
        <v>2.4700000000000002</v>
      </c>
    </row>
    <row r="43" spans="1:7">
      <c r="A43" s="1" t="s">
        <v>127</v>
      </c>
      <c r="B43" s="1" t="s">
        <v>128</v>
      </c>
      <c r="C43" s="1" t="s">
        <v>23</v>
      </c>
      <c r="D43" s="1" t="s">
        <v>15</v>
      </c>
      <c r="E43" s="1">
        <v>1</v>
      </c>
      <c r="F43" s="1">
        <v>3.94</v>
      </c>
      <c r="G43" s="1">
        <v>3.94</v>
      </c>
    </row>
    <row r="44" spans="1:7">
      <c r="A44" s="1" t="s">
        <v>129</v>
      </c>
      <c r="B44" s="1" t="s">
        <v>130</v>
      </c>
      <c r="C44" s="1" t="s">
        <v>25</v>
      </c>
      <c r="D44" s="1" t="s">
        <v>12</v>
      </c>
      <c r="E44" s="1">
        <v>1</v>
      </c>
      <c r="F44" s="1">
        <v>3.24</v>
      </c>
      <c r="G44" s="1">
        <v>3.24</v>
      </c>
    </row>
    <row r="45" spans="1:7">
      <c r="A45" s="1" t="s">
        <v>131</v>
      </c>
      <c r="B45" s="1" t="s">
        <v>132</v>
      </c>
      <c r="C45" s="1" t="s">
        <v>30</v>
      </c>
      <c r="D45" s="1" t="s">
        <v>8</v>
      </c>
      <c r="E45" s="1">
        <v>1</v>
      </c>
      <c r="F45" s="1">
        <v>2.6</v>
      </c>
      <c r="G45" s="1">
        <v>2.6</v>
      </c>
    </row>
    <row r="46" spans="1:7">
      <c r="A46" s="1" t="s">
        <v>133</v>
      </c>
      <c r="B46" s="1" t="s">
        <v>134</v>
      </c>
      <c r="C46" s="1" t="s">
        <v>9</v>
      </c>
      <c r="D46" s="1" t="s">
        <v>353</v>
      </c>
      <c r="E46" s="1">
        <v>2</v>
      </c>
      <c r="F46" s="1">
        <v>5.45</v>
      </c>
      <c r="G46" s="1">
        <v>10.9</v>
      </c>
    </row>
    <row r="47" spans="1:7">
      <c r="A47" s="1" t="s">
        <v>135</v>
      </c>
      <c r="B47" s="1" t="s">
        <v>136</v>
      </c>
      <c r="C47" s="1" t="s">
        <v>33</v>
      </c>
      <c r="D47" s="1" t="s">
        <v>8</v>
      </c>
      <c r="E47" s="1">
        <v>1</v>
      </c>
      <c r="F47" s="1">
        <v>2.08</v>
      </c>
      <c r="G47" s="1">
        <v>2.08</v>
      </c>
    </row>
    <row r="48" spans="1:7">
      <c r="A48" s="1" t="s">
        <v>137</v>
      </c>
      <c r="B48" s="1" t="s">
        <v>138</v>
      </c>
      <c r="C48" s="1" t="s">
        <v>21</v>
      </c>
      <c r="D48" s="1" t="s">
        <v>12</v>
      </c>
      <c r="E48" s="1">
        <v>2</v>
      </c>
      <c r="F48" s="1">
        <v>3.19</v>
      </c>
      <c r="G48" s="1">
        <v>6.38</v>
      </c>
    </row>
    <row r="49" spans="1:7">
      <c r="A49" s="1" t="s">
        <v>139</v>
      </c>
      <c r="B49" s="1" t="s">
        <v>140</v>
      </c>
      <c r="C49" s="1" t="s">
        <v>24</v>
      </c>
      <c r="D49" s="1" t="s">
        <v>353</v>
      </c>
      <c r="E49" s="1">
        <v>1</v>
      </c>
      <c r="F49" s="1">
        <v>4.82</v>
      </c>
      <c r="G49" s="1">
        <v>4.82</v>
      </c>
    </row>
    <row r="50" spans="1:7">
      <c r="A50" s="1" t="s">
        <v>141</v>
      </c>
      <c r="B50" s="1" t="s">
        <v>142</v>
      </c>
      <c r="C50" s="1" t="s">
        <v>27</v>
      </c>
      <c r="D50" s="1" t="s">
        <v>353</v>
      </c>
      <c r="E50" s="1">
        <v>1</v>
      </c>
      <c r="F50" s="1">
        <v>5.31</v>
      </c>
      <c r="G50" s="1">
        <v>5.31</v>
      </c>
    </row>
    <row r="51" spans="1:7">
      <c r="A51" s="1" t="s">
        <v>143</v>
      </c>
      <c r="B51" s="1" t="s">
        <v>144</v>
      </c>
      <c r="C51" s="1" t="s">
        <v>9</v>
      </c>
      <c r="D51" s="1" t="s">
        <v>353</v>
      </c>
      <c r="E51" s="1">
        <v>2</v>
      </c>
      <c r="F51" s="1">
        <v>5.12</v>
      </c>
      <c r="G51" s="1">
        <v>10.24</v>
      </c>
    </row>
    <row r="52" spans="1:7">
      <c r="A52" s="1" t="s">
        <v>145</v>
      </c>
      <c r="B52" s="1" t="s">
        <v>146</v>
      </c>
      <c r="C52" s="1" t="s">
        <v>18</v>
      </c>
      <c r="D52" s="1" t="s">
        <v>8</v>
      </c>
      <c r="E52" s="1">
        <v>1</v>
      </c>
      <c r="F52" s="1">
        <v>3.49</v>
      </c>
      <c r="G52" s="1">
        <v>3.49</v>
      </c>
    </row>
    <row r="53" spans="1:7">
      <c r="A53" s="1" t="s">
        <v>147</v>
      </c>
      <c r="B53" s="1" t="s">
        <v>148</v>
      </c>
      <c r="C53" s="1" t="s">
        <v>35</v>
      </c>
      <c r="D53" s="1" t="s">
        <v>8</v>
      </c>
      <c r="E53" s="1">
        <v>1</v>
      </c>
      <c r="F53" s="1">
        <v>2.39</v>
      </c>
      <c r="G53" s="1">
        <v>2.39</v>
      </c>
    </row>
    <row r="54" spans="1:7">
      <c r="A54" s="1" t="s">
        <v>149</v>
      </c>
      <c r="B54" s="1" t="s">
        <v>150</v>
      </c>
      <c r="C54" s="1" t="s">
        <v>21</v>
      </c>
      <c r="D54" s="1" t="s">
        <v>12</v>
      </c>
      <c r="E54" s="1">
        <v>1</v>
      </c>
      <c r="F54" s="1">
        <v>2.9</v>
      </c>
      <c r="G54" s="1">
        <v>2.9</v>
      </c>
    </row>
    <row r="55" spans="1:7">
      <c r="A55" s="1" t="s">
        <v>151</v>
      </c>
      <c r="B55" s="1" t="s">
        <v>152</v>
      </c>
      <c r="C55" s="1" t="s">
        <v>11</v>
      </c>
      <c r="D55" s="1" t="s">
        <v>8</v>
      </c>
      <c r="E55" s="1">
        <v>1</v>
      </c>
      <c r="F55" s="1">
        <v>2.2200000000000002</v>
      </c>
      <c r="G55" s="1">
        <v>2.2200000000000002</v>
      </c>
    </row>
    <row r="56" spans="1:7">
      <c r="A56" s="1" t="s">
        <v>153</v>
      </c>
      <c r="B56" s="1" t="s">
        <v>154</v>
      </c>
      <c r="C56" s="1" t="s">
        <v>11</v>
      </c>
      <c r="D56" s="1" t="s">
        <v>8</v>
      </c>
      <c r="E56" s="1">
        <v>2</v>
      </c>
      <c r="F56" s="1">
        <v>2.4500000000000002</v>
      </c>
      <c r="G56" s="1">
        <v>4.9000000000000004</v>
      </c>
    </row>
    <row r="57" spans="1:7">
      <c r="A57" s="1" t="s">
        <v>155</v>
      </c>
      <c r="B57" s="1" t="s">
        <v>156</v>
      </c>
      <c r="C57" s="1" t="s">
        <v>18</v>
      </c>
      <c r="D57" s="1" t="s">
        <v>353</v>
      </c>
      <c r="E57" s="1">
        <v>1</v>
      </c>
      <c r="F57" s="1">
        <v>4.78</v>
      </c>
      <c r="G57" s="1">
        <v>4.78</v>
      </c>
    </row>
    <row r="58" spans="1:7">
      <c r="A58" s="1" t="s">
        <v>157</v>
      </c>
      <c r="B58" s="1" t="s">
        <v>158</v>
      </c>
      <c r="C58" s="1" t="s">
        <v>35</v>
      </c>
      <c r="D58" s="1" t="s">
        <v>8</v>
      </c>
      <c r="E58" s="1">
        <v>1</v>
      </c>
      <c r="F58" s="1">
        <v>2.44</v>
      </c>
      <c r="G58" s="1">
        <v>2.44</v>
      </c>
    </row>
    <row r="59" spans="1:7">
      <c r="A59" s="1" t="s">
        <v>159</v>
      </c>
      <c r="B59" s="1" t="s">
        <v>160</v>
      </c>
      <c r="C59" s="1" t="s">
        <v>34</v>
      </c>
      <c r="D59" s="1" t="s">
        <v>15</v>
      </c>
      <c r="E59" s="1">
        <v>1</v>
      </c>
      <c r="F59" s="1">
        <v>4.18</v>
      </c>
      <c r="G59" s="1">
        <v>4.18</v>
      </c>
    </row>
    <row r="60" spans="1:7">
      <c r="A60" s="1" t="s">
        <v>161</v>
      </c>
      <c r="B60" s="1" t="s">
        <v>162</v>
      </c>
      <c r="C60" s="1" t="s">
        <v>20</v>
      </c>
      <c r="D60" s="1" t="s">
        <v>15</v>
      </c>
      <c r="E60" s="1">
        <v>1</v>
      </c>
      <c r="F60" s="1">
        <v>3.94</v>
      </c>
      <c r="G60" s="1">
        <v>3.94</v>
      </c>
    </row>
    <row r="61" spans="1:7">
      <c r="A61" s="1" t="s">
        <v>163</v>
      </c>
      <c r="B61" s="1" t="s">
        <v>164</v>
      </c>
      <c r="C61" s="1" t="s">
        <v>30</v>
      </c>
      <c r="D61" s="1" t="s">
        <v>8</v>
      </c>
      <c r="E61" s="1">
        <v>1</v>
      </c>
      <c r="F61" s="1">
        <v>2.61</v>
      </c>
      <c r="G61" s="1">
        <v>2.61</v>
      </c>
    </row>
    <row r="62" spans="1:7">
      <c r="A62" s="1" t="s">
        <v>165</v>
      </c>
      <c r="B62" s="1" t="s">
        <v>166</v>
      </c>
      <c r="C62" s="1" t="s">
        <v>38</v>
      </c>
      <c r="D62" s="1" t="s">
        <v>15</v>
      </c>
      <c r="E62" s="1">
        <v>1</v>
      </c>
      <c r="F62" s="1">
        <v>3.38</v>
      </c>
      <c r="G62" s="1">
        <v>3.38</v>
      </c>
    </row>
    <row r="63" spans="1:7">
      <c r="A63" s="1" t="s">
        <v>167</v>
      </c>
      <c r="B63" s="1" t="s">
        <v>168</v>
      </c>
      <c r="C63" s="1" t="s">
        <v>35</v>
      </c>
      <c r="D63" s="1" t="s">
        <v>12</v>
      </c>
      <c r="E63" s="1">
        <v>1</v>
      </c>
      <c r="F63" s="1">
        <v>2.69</v>
      </c>
      <c r="G63" s="1">
        <v>2.69</v>
      </c>
    </row>
    <row r="64" spans="1:7">
      <c r="A64" s="1" t="s">
        <v>169</v>
      </c>
      <c r="B64" s="1" t="s">
        <v>170</v>
      </c>
      <c r="C64" s="1" t="s">
        <v>16</v>
      </c>
      <c r="D64" s="1" t="s">
        <v>15</v>
      </c>
      <c r="E64" s="1">
        <v>1</v>
      </c>
      <c r="F64" s="1">
        <v>4.3</v>
      </c>
      <c r="G64" s="1">
        <v>4.3</v>
      </c>
    </row>
    <row r="65" spans="1:7">
      <c r="A65" s="1" t="s">
        <v>171</v>
      </c>
      <c r="B65" s="1" t="s">
        <v>172</v>
      </c>
      <c r="C65" s="1" t="s">
        <v>32</v>
      </c>
      <c r="D65" s="1" t="s">
        <v>8</v>
      </c>
      <c r="E65" s="1">
        <v>1</v>
      </c>
      <c r="F65" s="1">
        <v>1.75</v>
      </c>
      <c r="G65" s="1">
        <v>1.75</v>
      </c>
    </row>
    <row r="66" spans="1:7">
      <c r="A66" s="1" t="s">
        <v>173</v>
      </c>
      <c r="B66" s="1" t="s">
        <v>174</v>
      </c>
      <c r="C66" s="1" t="s">
        <v>29</v>
      </c>
      <c r="D66" s="1" t="s">
        <v>12</v>
      </c>
      <c r="E66" s="1">
        <v>1</v>
      </c>
      <c r="F66" s="1">
        <v>3.02</v>
      </c>
      <c r="G66" s="1">
        <v>3.02</v>
      </c>
    </row>
    <row r="67" spans="1:7">
      <c r="A67" s="1" t="s">
        <v>175</v>
      </c>
      <c r="B67" s="1" t="s">
        <v>176</v>
      </c>
      <c r="C67" s="1" t="s">
        <v>39</v>
      </c>
      <c r="D67" s="1" t="s">
        <v>8</v>
      </c>
      <c r="E67" s="1">
        <v>1</v>
      </c>
      <c r="F67" s="1">
        <v>2.2799999999999998</v>
      </c>
      <c r="G67" s="1">
        <v>2.2799999999999998</v>
      </c>
    </row>
    <row r="68" spans="1:7">
      <c r="A68" s="1" t="s">
        <v>177</v>
      </c>
      <c r="B68" s="1" t="s">
        <v>178</v>
      </c>
      <c r="C68" s="1" t="s">
        <v>21</v>
      </c>
      <c r="D68" s="1" t="s">
        <v>12</v>
      </c>
      <c r="E68" s="1">
        <v>1</v>
      </c>
      <c r="F68" s="1">
        <v>2.89</v>
      </c>
      <c r="G68" s="1">
        <v>2.89</v>
      </c>
    </row>
    <row r="69" spans="1:7">
      <c r="A69" s="1" t="s">
        <v>179</v>
      </c>
      <c r="B69" s="1" t="s">
        <v>180</v>
      </c>
      <c r="C69" s="1" t="s">
        <v>14</v>
      </c>
      <c r="D69" s="1" t="s">
        <v>15</v>
      </c>
      <c r="E69" s="1">
        <v>1</v>
      </c>
      <c r="F69" s="1">
        <v>4.1900000000000004</v>
      </c>
      <c r="G69" s="1">
        <v>4.1900000000000004</v>
      </c>
    </row>
    <row r="70" spans="1:7">
      <c r="A70" s="1" t="s">
        <v>181</v>
      </c>
      <c r="B70" s="1" t="s">
        <v>182</v>
      </c>
      <c r="C70" s="1" t="s">
        <v>33</v>
      </c>
      <c r="D70" s="1" t="s">
        <v>353</v>
      </c>
      <c r="E70" s="1">
        <v>1</v>
      </c>
      <c r="F70" s="1">
        <v>5.17</v>
      </c>
      <c r="G70" s="1">
        <v>5.17</v>
      </c>
    </row>
    <row r="71" spans="1:7">
      <c r="A71" s="1" t="s">
        <v>183</v>
      </c>
      <c r="B71" s="1" t="s">
        <v>184</v>
      </c>
      <c r="C71" s="1" t="s">
        <v>19</v>
      </c>
      <c r="D71" s="1" t="s">
        <v>8</v>
      </c>
      <c r="E71" s="1">
        <v>1</v>
      </c>
      <c r="F71" s="1">
        <v>2.2999999999999998</v>
      </c>
      <c r="G71" s="1">
        <v>2.2999999999999998</v>
      </c>
    </row>
    <row r="72" spans="1:7">
      <c r="A72" s="1" t="s">
        <v>185</v>
      </c>
      <c r="B72" s="1" t="s">
        <v>186</v>
      </c>
      <c r="C72" s="1" t="s">
        <v>24</v>
      </c>
      <c r="D72" s="1" t="s">
        <v>15</v>
      </c>
      <c r="E72" s="1">
        <v>1</v>
      </c>
      <c r="F72" s="1">
        <v>4.13</v>
      </c>
      <c r="G72" s="1">
        <v>4.13</v>
      </c>
    </row>
    <row r="73" spans="1:7">
      <c r="A73" s="1" t="s">
        <v>187</v>
      </c>
      <c r="B73" s="1" t="s">
        <v>188</v>
      </c>
      <c r="C73" s="1" t="s">
        <v>35</v>
      </c>
      <c r="D73" s="1" t="s">
        <v>8</v>
      </c>
      <c r="E73" s="1">
        <v>1</v>
      </c>
      <c r="F73" s="1">
        <v>2.59</v>
      </c>
      <c r="G73" s="1">
        <v>2.59</v>
      </c>
    </row>
    <row r="74" spans="1:7">
      <c r="A74" s="1" t="s">
        <v>189</v>
      </c>
      <c r="B74" s="1" t="s">
        <v>190</v>
      </c>
      <c r="C74" s="1" t="s">
        <v>22</v>
      </c>
      <c r="D74" s="1" t="s">
        <v>8</v>
      </c>
      <c r="E74" s="1">
        <v>1</v>
      </c>
      <c r="F74" s="1">
        <v>2.87</v>
      </c>
      <c r="G74" s="1">
        <v>2.87</v>
      </c>
    </row>
    <row r="75" spans="1:7">
      <c r="A75" s="1" t="s">
        <v>191</v>
      </c>
      <c r="B75" s="1" t="s">
        <v>192</v>
      </c>
      <c r="C75" s="1" t="s">
        <v>18</v>
      </c>
      <c r="D75" s="1" t="s">
        <v>8</v>
      </c>
      <c r="E75" s="1">
        <v>1</v>
      </c>
      <c r="F75" s="1">
        <v>2.59</v>
      </c>
      <c r="G75" s="1">
        <v>2.59</v>
      </c>
    </row>
    <row r="76" spans="1:7">
      <c r="A76" s="1" t="s">
        <v>193</v>
      </c>
      <c r="B76" s="1" t="s">
        <v>194</v>
      </c>
      <c r="C76" s="1" t="s">
        <v>11</v>
      </c>
      <c r="D76" s="1" t="s">
        <v>12</v>
      </c>
      <c r="E76" s="1">
        <v>1</v>
      </c>
      <c r="F76" s="1">
        <v>3.09</v>
      </c>
      <c r="G76" s="1">
        <v>3.09</v>
      </c>
    </row>
    <row r="77" spans="1:7">
      <c r="A77" s="1" t="s">
        <v>195</v>
      </c>
      <c r="B77" s="1" t="s">
        <v>196</v>
      </c>
      <c r="C77" s="1" t="s">
        <v>9</v>
      </c>
      <c r="D77" s="1" t="s">
        <v>8</v>
      </c>
      <c r="E77" s="1">
        <v>2</v>
      </c>
      <c r="F77" s="1">
        <v>2.5</v>
      </c>
      <c r="G77" s="1">
        <v>5</v>
      </c>
    </row>
    <row r="78" spans="1:7">
      <c r="A78" s="1" t="s">
        <v>197</v>
      </c>
      <c r="B78" s="1" t="s">
        <v>198</v>
      </c>
      <c r="C78" s="1" t="s">
        <v>35</v>
      </c>
      <c r="D78" s="1" t="s">
        <v>12</v>
      </c>
      <c r="E78" s="1">
        <v>1</v>
      </c>
      <c r="F78" s="1">
        <v>2.64</v>
      </c>
      <c r="G78" s="1">
        <v>2.64</v>
      </c>
    </row>
    <row r="79" spans="1:7">
      <c r="A79" s="1" t="s">
        <v>199</v>
      </c>
      <c r="B79" s="1" t="s">
        <v>200</v>
      </c>
      <c r="C79" s="1" t="s">
        <v>22</v>
      </c>
      <c r="D79" s="1" t="s">
        <v>8</v>
      </c>
      <c r="E79" s="1">
        <v>1</v>
      </c>
      <c r="F79" s="1">
        <v>2.88</v>
      </c>
      <c r="G79" s="1">
        <v>2.88</v>
      </c>
    </row>
    <row r="80" spans="1:7">
      <c r="A80" s="1" t="s">
        <v>201</v>
      </c>
      <c r="B80" s="1" t="s">
        <v>202</v>
      </c>
      <c r="C80" s="1" t="s">
        <v>35</v>
      </c>
      <c r="D80" s="1" t="s">
        <v>12</v>
      </c>
      <c r="E80" s="1">
        <v>1</v>
      </c>
      <c r="F80" s="1">
        <v>2.95</v>
      </c>
      <c r="G80" s="1">
        <v>2.95</v>
      </c>
    </row>
    <row r="81" spans="1:7">
      <c r="A81" s="1" t="s">
        <v>203</v>
      </c>
      <c r="B81" s="1" t="s">
        <v>204</v>
      </c>
      <c r="C81" s="1" t="s">
        <v>14</v>
      </c>
      <c r="D81" s="1" t="s">
        <v>8</v>
      </c>
      <c r="E81" s="1">
        <v>1</v>
      </c>
      <c r="F81" s="1">
        <v>2.92</v>
      </c>
      <c r="G81" s="1">
        <v>2.92</v>
      </c>
    </row>
    <row r="82" spans="1:7">
      <c r="A82" s="1" t="s">
        <v>205</v>
      </c>
      <c r="B82" s="1" t="s">
        <v>206</v>
      </c>
      <c r="C82" s="1" t="s">
        <v>28</v>
      </c>
      <c r="D82" s="1" t="s">
        <v>8</v>
      </c>
      <c r="E82" s="1">
        <v>2</v>
      </c>
      <c r="F82" s="1">
        <v>2.74</v>
      </c>
      <c r="G82" s="1">
        <v>5.48</v>
      </c>
    </row>
    <row r="83" spans="1:7">
      <c r="A83" s="1" t="s">
        <v>207</v>
      </c>
      <c r="B83" s="1" t="s">
        <v>208</v>
      </c>
      <c r="C83" s="1" t="s">
        <v>24</v>
      </c>
      <c r="D83" s="1" t="s">
        <v>15</v>
      </c>
      <c r="E83" s="1">
        <v>1</v>
      </c>
      <c r="F83" s="1">
        <v>4.03</v>
      </c>
      <c r="G83" s="1">
        <v>4.03</v>
      </c>
    </row>
    <row r="84" spans="1:7">
      <c r="A84" s="1" t="s">
        <v>209</v>
      </c>
      <c r="B84" s="1" t="s">
        <v>210</v>
      </c>
      <c r="C84" s="1" t="s">
        <v>7</v>
      </c>
      <c r="D84" s="1" t="s">
        <v>8</v>
      </c>
      <c r="E84" s="1">
        <v>1</v>
      </c>
      <c r="F84" s="1">
        <v>2.5099999999999998</v>
      </c>
      <c r="G84" s="1">
        <v>2.5099999999999998</v>
      </c>
    </row>
    <row r="85" spans="1:7">
      <c r="A85" s="1" t="s">
        <v>211</v>
      </c>
      <c r="B85" s="1" t="s">
        <v>212</v>
      </c>
      <c r="C85" s="1" t="s">
        <v>18</v>
      </c>
      <c r="D85" s="1" t="s">
        <v>12</v>
      </c>
      <c r="E85" s="1">
        <v>1</v>
      </c>
      <c r="F85" s="1">
        <v>3.04</v>
      </c>
      <c r="G85" s="1">
        <v>3.04</v>
      </c>
    </row>
    <row r="86" spans="1:7">
      <c r="A86" s="1" t="s">
        <v>213</v>
      </c>
      <c r="B86" s="1" t="s">
        <v>214</v>
      </c>
      <c r="C86" s="1" t="s">
        <v>34</v>
      </c>
      <c r="D86" s="1" t="s">
        <v>353</v>
      </c>
      <c r="E86" s="1">
        <v>1</v>
      </c>
      <c r="F86" s="1">
        <v>4.3600000000000003</v>
      </c>
      <c r="G86" s="1">
        <v>4.3600000000000003</v>
      </c>
    </row>
    <row r="87" spans="1:7">
      <c r="A87" s="1" t="s">
        <v>215</v>
      </c>
      <c r="B87" s="1" t="s">
        <v>216</v>
      </c>
      <c r="C87" s="1" t="s">
        <v>28</v>
      </c>
      <c r="D87" s="1" t="s">
        <v>8</v>
      </c>
      <c r="E87" s="1">
        <v>1</v>
      </c>
      <c r="F87" s="1">
        <v>2.76</v>
      </c>
      <c r="G87" s="1">
        <v>2.76</v>
      </c>
    </row>
    <row r="88" spans="1:7">
      <c r="A88" s="1" t="s">
        <v>217</v>
      </c>
      <c r="B88" s="1" t="s">
        <v>218</v>
      </c>
      <c r="C88" s="1" t="s">
        <v>24</v>
      </c>
      <c r="D88" s="1" t="s">
        <v>8</v>
      </c>
      <c r="E88" s="1">
        <v>1</v>
      </c>
      <c r="F88" s="1">
        <v>2.2999999999999998</v>
      </c>
      <c r="G88" s="1">
        <v>2.2999999999999998</v>
      </c>
    </row>
    <row r="89" spans="1:7">
      <c r="A89" s="1" t="s">
        <v>219</v>
      </c>
      <c r="B89" s="1" t="s">
        <v>220</v>
      </c>
      <c r="C89" s="1" t="s">
        <v>21</v>
      </c>
      <c r="D89" s="1" t="s">
        <v>8</v>
      </c>
      <c r="E89" s="1">
        <v>1</v>
      </c>
      <c r="F89" s="1">
        <v>2.52</v>
      </c>
      <c r="G89" s="1">
        <v>2.52</v>
      </c>
    </row>
    <row r="90" spans="1:7">
      <c r="A90" s="1" t="s">
        <v>221</v>
      </c>
      <c r="B90" s="1" t="s">
        <v>222</v>
      </c>
      <c r="C90" s="1" t="s">
        <v>38</v>
      </c>
      <c r="D90" s="1" t="s">
        <v>353</v>
      </c>
      <c r="E90" s="1">
        <v>1</v>
      </c>
      <c r="F90" s="1">
        <v>5.1100000000000003</v>
      </c>
      <c r="G90" s="1">
        <v>5.1100000000000003</v>
      </c>
    </row>
    <row r="91" spans="1:7">
      <c r="A91" s="1" t="s">
        <v>223</v>
      </c>
      <c r="B91" s="1" t="s">
        <v>224</v>
      </c>
      <c r="C91" s="1" t="s">
        <v>34</v>
      </c>
      <c r="D91" s="1" t="s">
        <v>8</v>
      </c>
      <c r="E91" s="1">
        <v>1</v>
      </c>
      <c r="F91" s="1">
        <v>2.6</v>
      </c>
      <c r="G91" s="1">
        <v>2.6</v>
      </c>
    </row>
    <row r="92" spans="1:7">
      <c r="A92" s="1" t="s">
        <v>225</v>
      </c>
      <c r="B92" s="1" t="s">
        <v>226</v>
      </c>
      <c r="C92" s="1" t="s">
        <v>9</v>
      </c>
      <c r="D92" s="1" t="s">
        <v>8</v>
      </c>
      <c r="E92" s="1">
        <v>1</v>
      </c>
      <c r="F92" s="1">
        <v>2.61</v>
      </c>
      <c r="G92" s="1">
        <v>2.61</v>
      </c>
    </row>
    <row r="93" spans="1:7">
      <c r="A93" s="1" t="s">
        <v>227</v>
      </c>
      <c r="B93" s="1" t="s">
        <v>228</v>
      </c>
      <c r="C93" s="1" t="s">
        <v>38</v>
      </c>
      <c r="D93" s="1" t="s">
        <v>8</v>
      </c>
      <c r="E93" s="1">
        <v>1</v>
      </c>
      <c r="F93" s="1">
        <v>2.61</v>
      </c>
      <c r="G93" s="1">
        <v>2.61</v>
      </c>
    </row>
    <row r="94" spans="1:7">
      <c r="A94" s="1" t="s">
        <v>229</v>
      </c>
      <c r="B94" s="1" t="s">
        <v>230</v>
      </c>
      <c r="C94" s="1" t="s">
        <v>21</v>
      </c>
      <c r="D94" s="1" t="s">
        <v>12</v>
      </c>
      <c r="E94" s="1">
        <v>1</v>
      </c>
      <c r="F94" s="1">
        <v>2.48</v>
      </c>
      <c r="G94" s="1">
        <v>2.48</v>
      </c>
    </row>
    <row r="95" spans="1:7">
      <c r="A95" s="1" t="s">
        <v>231</v>
      </c>
      <c r="B95" s="1" t="s">
        <v>232</v>
      </c>
      <c r="C95" s="1" t="s">
        <v>18</v>
      </c>
      <c r="D95" s="1" t="s">
        <v>12</v>
      </c>
      <c r="E95" s="1">
        <v>1</v>
      </c>
      <c r="F95" s="1">
        <v>2.61</v>
      </c>
      <c r="G95" s="1">
        <v>2.61</v>
      </c>
    </row>
    <row r="96" spans="1:7">
      <c r="A96" s="1" t="s">
        <v>233</v>
      </c>
      <c r="B96" s="1" t="s">
        <v>234</v>
      </c>
      <c r="C96" s="1" t="s">
        <v>26</v>
      </c>
      <c r="D96" s="1" t="s">
        <v>12</v>
      </c>
      <c r="E96" s="1">
        <v>1</v>
      </c>
      <c r="F96" s="1">
        <v>2.9</v>
      </c>
      <c r="G96" s="1">
        <v>2.9</v>
      </c>
    </row>
    <row r="97" spans="1:7">
      <c r="A97" s="1" t="s">
        <v>235</v>
      </c>
      <c r="B97" s="1" t="s">
        <v>236</v>
      </c>
      <c r="C97" s="1" t="s">
        <v>38</v>
      </c>
      <c r="D97" s="1" t="s">
        <v>15</v>
      </c>
      <c r="E97" s="1">
        <v>1</v>
      </c>
      <c r="F97" s="1">
        <v>4.28</v>
      </c>
      <c r="G97" s="1">
        <v>4.28</v>
      </c>
    </row>
    <row r="98" spans="1:7">
      <c r="A98" s="1" t="s">
        <v>237</v>
      </c>
      <c r="B98" s="1" t="s">
        <v>238</v>
      </c>
      <c r="C98" s="1" t="s">
        <v>13</v>
      </c>
      <c r="D98" s="1" t="s">
        <v>8</v>
      </c>
      <c r="E98" s="1">
        <v>2</v>
      </c>
      <c r="F98" s="1">
        <v>2.3199999999999998</v>
      </c>
      <c r="G98" s="1">
        <v>4.6399999999999997</v>
      </c>
    </row>
    <row r="99" spans="1:7">
      <c r="A99" s="1" t="s">
        <v>239</v>
      </c>
      <c r="B99" s="1" t="s">
        <v>240</v>
      </c>
      <c r="C99" s="1" t="s">
        <v>27</v>
      </c>
      <c r="D99" s="1" t="s">
        <v>12</v>
      </c>
      <c r="E99" s="1">
        <v>1</v>
      </c>
      <c r="F99" s="1">
        <v>2.85</v>
      </c>
      <c r="G99" s="1">
        <v>2.85</v>
      </c>
    </row>
    <row r="100" spans="1:7">
      <c r="A100" s="1" t="s">
        <v>241</v>
      </c>
      <c r="B100" s="1" t="s">
        <v>242</v>
      </c>
      <c r="C100" s="1" t="s">
        <v>23</v>
      </c>
      <c r="D100" s="1" t="s">
        <v>15</v>
      </c>
      <c r="E100" s="1">
        <v>2</v>
      </c>
      <c r="F100" s="1">
        <v>4.03</v>
      </c>
      <c r="G100" s="1">
        <v>8.06</v>
      </c>
    </row>
    <row r="101" spans="1:7">
      <c r="A101" s="1" t="s">
        <v>243</v>
      </c>
      <c r="B101" s="1" t="s">
        <v>244</v>
      </c>
      <c r="C101" s="1" t="s">
        <v>24</v>
      </c>
      <c r="D101" s="1" t="s">
        <v>15</v>
      </c>
      <c r="E101" s="1">
        <v>1</v>
      </c>
      <c r="F101" s="1">
        <v>3.82</v>
      </c>
      <c r="G101" s="1">
        <v>3.82</v>
      </c>
    </row>
    <row r="102" spans="1:7">
      <c r="A102" s="1" t="s">
        <v>245</v>
      </c>
      <c r="B102" s="1" t="s">
        <v>246</v>
      </c>
      <c r="C102" s="1" t="s">
        <v>24</v>
      </c>
      <c r="D102" s="1" t="s">
        <v>8</v>
      </c>
      <c r="E102" s="1">
        <v>2</v>
      </c>
      <c r="F102" s="1">
        <v>2.8</v>
      </c>
      <c r="G102" s="1">
        <v>5.6</v>
      </c>
    </row>
    <row r="103" spans="1:7">
      <c r="A103" s="1" t="s">
        <v>247</v>
      </c>
      <c r="B103" s="1" t="s">
        <v>248</v>
      </c>
      <c r="C103" s="1" t="s">
        <v>35</v>
      </c>
      <c r="D103" s="1" t="s">
        <v>353</v>
      </c>
      <c r="E103" s="1">
        <v>1</v>
      </c>
      <c r="F103" s="1">
        <v>4.93</v>
      </c>
      <c r="G103" s="1">
        <v>4.93</v>
      </c>
    </row>
    <row r="104" spans="1:7">
      <c r="A104" s="1" t="s">
        <v>249</v>
      </c>
      <c r="B104" s="1" t="s">
        <v>250</v>
      </c>
      <c r="C104" s="1" t="s">
        <v>35</v>
      </c>
      <c r="D104" s="1" t="s">
        <v>353</v>
      </c>
      <c r="E104" s="1">
        <v>1</v>
      </c>
      <c r="F104" s="1">
        <v>4.7300000000000004</v>
      </c>
      <c r="G104" s="1">
        <v>4.7300000000000004</v>
      </c>
    </row>
    <row r="105" spans="1:7">
      <c r="A105" s="1" t="s">
        <v>251</v>
      </c>
      <c r="B105" s="1" t="s">
        <v>252</v>
      </c>
      <c r="C105" s="1" t="s">
        <v>7</v>
      </c>
      <c r="D105" s="1" t="s">
        <v>8</v>
      </c>
      <c r="E105" s="1">
        <v>1</v>
      </c>
      <c r="F105" s="1">
        <v>2.48</v>
      </c>
      <c r="G105" s="1">
        <v>2.48</v>
      </c>
    </row>
    <row r="106" spans="1:7">
      <c r="A106" s="1" t="s">
        <v>253</v>
      </c>
      <c r="B106" s="1" t="s">
        <v>254</v>
      </c>
      <c r="C106" s="1" t="s">
        <v>28</v>
      </c>
      <c r="D106" s="1" t="s">
        <v>8</v>
      </c>
      <c r="E106" s="1">
        <v>1</v>
      </c>
      <c r="F106" s="1">
        <v>2.12</v>
      </c>
      <c r="G106" s="1">
        <v>2.12</v>
      </c>
    </row>
    <row r="107" spans="1:7">
      <c r="A107" s="1" t="s">
        <v>255</v>
      </c>
      <c r="B107" s="1" t="s">
        <v>256</v>
      </c>
      <c r="C107" s="1" t="s">
        <v>9</v>
      </c>
      <c r="D107" s="1" t="s">
        <v>353</v>
      </c>
      <c r="E107" s="1">
        <v>1</v>
      </c>
      <c r="F107" s="1">
        <v>4.9000000000000004</v>
      </c>
      <c r="G107" s="1">
        <v>4.9000000000000004</v>
      </c>
    </row>
    <row r="108" spans="1:7">
      <c r="A108" s="1" t="s">
        <v>257</v>
      </c>
      <c r="B108" s="1" t="s">
        <v>258</v>
      </c>
      <c r="C108" s="1" t="s">
        <v>19</v>
      </c>
      <c r="D108" s="1" t="s">
        <v>15</v>
      </c>
      <c r="E108" s="1">
        <v>1</v>
      </c>
      <c r="F108" s="1">
        <v>3.75</v>
      </c>
      <c r="G108" s="1">
        <v>3.75</v>
      </c>
    </row>
    <row r="109" spans="1:7">
      <c r="A109" s="1" t="s">
        <v>259</v>
      </c>
      <c r="B109" s="1" t="s">
        <v>260</v>
      </c>
      <c r="C109" s="1" t="s">
        <v>19</v>
      </c>
      <c r="D109" s="1" t="s">
        <v>8</v>
      </c>
      <c r="E109" s="1">
        <v>2</v>
      </c>
      <c r="F109" s="1">
        <v>2.39</v>
      </c>
      <c r="G109" s="1">
        <v>4.78</v>
      </c>
    </row>
    <row r="110" spans="1:7">
      <c r="A110" s="1" t="s">
        <v>261</v>
      </c>
      <c r="B110" s="1" t="s">
        <v>262</v>
      </c>
      <c r="C110" s="1" t="s">
        <v>37</v>
      </c>
      <c r="D110" s="1" t="s">
        <v>353</v>
      </c>
      <c r="E110" s="1">
        <v>1</v>
      </c>
      <c r="F110" s="1">
        <v>4.82</v>
      </c>
      <c r="G110" s="1">
        <v>4.82</v>
      </c>
    </row>
    <row r="111" spans="1:7">
      <c r="A111" s="1" t="s">
        <v>263</v>
      </c>
      <c r="B111" s="1" t="s">
        <v>264</v>
      </c>
      <c r="C111" s="1" t="s">
        <v>17</v>
      </c>
      <c r="D111" s="1" t="s">
        <v>8</v>
      </c>
      <c r="E111" s="1">
        <v>1</v>
      </c>
      <c r="F111" s="1">
        <v>2.56</v>
      </c>
      <c r="G111" s="1">
        <v>2.56</v>
      </c>
    </row>
    <row r="112" spans="1:7">
      <c r="A112" s="1" t="s">
        <v>265</v>
      </c>
      <c r="B112" s="1" t="s">
        <v>266</v>
      </c>
      <c r="C112" s="1" t="s">
        <v>37</v>
      </c>
      <c r="D112" s="1" t="s">
        <v>12</v>
      </c>
      <c r="E112" s="1">
        <v>1</v>
      </c>
      <c r="F112" s="1">
        <v>2.57</v>
      </c>
      <c r="G112" s="1">
        <v>2.57</v>
      </c>
    </row>
    <row r="113" spans="1:7">
      <c r="A113" s="1" t="s">
        <v>267</v>
      </c>
      <c r="B113" s="1" t="s">
        <v>268</v>
      </c>
      <c r="C113" s="1" t="s">
        <v>38</v>
      </c>
      <c r="D113" s="1" t="s">
        <v>15</v>
      </c>
      <c r="E113" s="1">
        <v>2</v>
      </c>
      <c r="F113" s="1">
        <v>3.75</v>
      </c>
      <c r="G113" s="1">
        <v>7.5</v>
      </c>
    </row>
    <row r="114" spans="1:7">
      <c r="A114" s="1" t="s">
        <v>269</v>
      </c>
      <c r="B114" s="1" t="s">
        <v>270</v>
      </c>
      <c r="C114" s="1" t="s">
        <v>34</v>
      </c>
      <c r="D114" s="1" t="s">
        <v>12</v>
      </c>
      <c r="E114" s="1">
        <v>1</v>
      </c>
      <c r="F114" s="1">
        <v>2.58</v>
      </c>
      <c r="G114" s="1">
        <v>2.58</v>
      </c>
    </row>
    <row r="115" spans="1:7">
      <c r="A115" s="1" t="s">
        <v>271</v>
      </c>
      <c r="B115" s="1" t="s">
        <v>272</v>
      </c>
      <c r="C115" s="1" t="s">
        <v>28</v>
      </c>
      <c r="D115" s="1" t="s">
        <v>12</v>
      </c>
      <c r="E115" s="1">
        <v>1</v>
      </c>
      <c r="F115" s="1">
        <v>2.75</v>
      </c>
      <c r="G115" s="1">
        <v>2.75</v>
      </c>
    </row>
    <row r="116" spans="1:7">
      <c r="A116" s="1" t="s">
        <v>273</v>
      </c>
      <c r="B116" s="1" t="s">
        <v>274</v>
      </c>
      <c r="C116" s="1" t="s">
        <v>10</v>
      </c>
      <c r="D116" s="1" t="s">
        <v>353</v>
      </c>
      <c r="E116" s="1">
        <v>1</v>
      </c>
      <c r="F116" s="1">
        <v>4.88</v>
      </c>
      <c r="G116" s="1">
        <v>4.88</v>
      </c>
    </row>
    <row r="117" spans="1:7">
      <c r="A117" s="1" t="s">
        <v>275</v>
      </c>
      <c r="B117" s="1" t="s">
        <v>276</v>
      </c>
      <c r="C117" s="1" t="s">
        <v>18</v>
      </c>
      <c r="D117" s="1" t="s">
        <v>12</v>
      </c>
      <c r="E117" s="1">
        <v>1</v>
      </c>
      <c r="F117" s="1">
        <v>2.98</v>
      </c>
      <c r="G117" s="1">
        <v>2.98</v>
      </c>
    </row>
    <row r="118" spans="1:7">
      <c r="A118" s="1" t="s">
        <v>277</v>
      </c>
      <c r="B118" s="1" t="s">
        <v>278</v>
      </c>
      <c r="C118" s="1" t="s">
        <v>11</v>
      </c>
      <c r="D118" s="1" t="s">
        <v>12</v>
      </c>
      <c r="E118" s="1">
        <v>1</v>
      </c>
      <c r="F118" s="1">
        <v>2.8</v>
      </c>
      <c r="G118" s="1">
        <v>2.8</v>
      </c>
    </row>
    <row r="119" spans="1:7">
      <c r="A119" s="1" t="s">
        <v>279</v>
      </c>
      <c r="B119" s="1" t="s">
        <v>280</v>
      </c>
      <c r="C119" s="1" t="s">
        <v>21</v>
      </c>
      <c r="D119" s="1" t="s">
        <v>8</v>
      </c>
      <c r="E119" s="1">
        <v>1</v>
      </c>
      <c r="F119" s="1">
        <v>2.85</v>
      </c>
      <c r="G119" s="1">
        <v>2.85</v>
      </c>
    </row>
    <row r="120" spans="1:7">
      <c r="A120" s="1" t="s">
        <v>281</v>
      </c>
      <c r="B120" s="1" t="s">
        <v>282</v>
      </c>
      <c r="C120" s="1" t="s">
        <v>9</v>
      </c>
      <c r="D120" s="1" t="s">
        <v>8</v>
      </c>
      <c r="E120" s="1">
        <v>1</v>
      </c>
      <c r="F120" s="1">
        <v>2.48</v>
      </c>
      <c r="G120" s="1">
        <v>2.48</v>
      </c>
    </row>
    <row r="121" spans="1:7">
      <c r="A121" s="1" t="s">
        <v>283</v>
      </c>
      <c r="B121" s="1" t="s">
        <v>284</v>
      </c>
      <c r="C121" s="1" t="s">
        <v>27</v>
      </c>
      <c r="D121" s="1" t="s">
        <v>353</v>
      </c>
      <c r="E121" s="1">
        <v>1</v>
      </c>
      <c r="F121" s="1">
        <v>5.17</v>
      </c>
      <c r="G121" s="1">
        <v>5.17</v>
      </c>
    </row>
    <row r="122" spans="1:7">
      <c r="A122" s="1" t="s">
        <v>285</v>
      </c>
      <c r="B122" s="1" t="s">
        <v>286</v>
      </c>
      <c r="C122" s="1" t="s">
        <v>24</v>
      </c>
      <c r="D122" s="1" t="s">
        <v>15</v>
      </c>
      <c r="E122" s="1">
        <v>1</v>
      </c>
      <c r="F122" s="1">
        <v>4.3499999999999996</v>
      </c>
      <c r="G122" s="1">
        <v>4.3499999999999996</v>
      </c>
    </row>
    <row r="123" spans="1:7">
      <c r="A123" s="1" t="s">
        <v>287</v>
      </c>
      <c r="B123" s="1" t="s">
        <v>288</v>
      </c>
      <c r="C123" s="1" t="s">
        <v>9</v>
      </c>
      <c r="D123" s="1" t="s">
        <v>353</v>
      </c>
      <c r="E123" s="1">
        <v>1</v>
      </c>
      <c r="F123" s="1">
        <v>4.7300000000000004</v>
      </c>
      <c r="G123" s="1">
        <v>4.7300000000000004</v>
      </c>
    </row>
    <row r="124" spans="1:7">
      <c r="A124" s="1" t="s">
        <v>289</v>
      </c>
      <c r="B124" s="1" t="s">
        <v>290</v>
      </c>
      <c r="C124" s="1" t="s">
        <v>33</v>
      </c>
      <c r="D124" s="1" t="s">
        <v>12</v>
      </c>
      <c r="E124" s="1">
        <v>1</v>
      </c>
      <c r="F124" s="1">
        <v>3.15</v>
      </c>
      <c r="G124" s="1">
        <v>3.15</v>
      </c>
    </row>
    <row r="125" spans="1:7">
      <c r="A125" s="1" t="s">
        <v>291</v>
      </c>
      <c r="B125" s="1" t="s">
        <v>292</v>
      </c>
      <c r="C125" s="1" t="s">
        <v>16</v>
      </c>
      <c r="D125" s="1" t="s">
        <v>15</v>
      </c>
      <c r="E125" s="1">
        <v>1</v>
      </c>
      <c r="F125" s="1">
        <v>3.35</v>
      </c>
      <c r="G125" s="1">
        <v>3.35</v>
      </c>
    </row>
    <row r="126" spans="1:7">
      <c r="A126" s="1" t="s">
        <v>293</v>
      </c>
      <c r="B126" s="1" t="s">
        <v>294</v>
      </c>
      <c r="C126" s="1" t="s">
        <v>38</v>
      </c>
      <c r="D126" s="1" t="s">
        <v>15</v>
      </c>
      <c r="E126" s="1">
        <v>1</v>
      </c>
      <c r="F126" s="1">
        <v>4.16</v>
      </c>
      <c r="G126" s="1">
        <v>4.16</v>
      </c>
    </row>
    <row r="127" spans="1:7">
      <c r="A127" s="1" t="s">
        <v>295</v>
      </c>
      <c r="B127" s="1" t="s">
        <v>296</v>
      </c>
      <c r="C127" s="1" t="s">
        <v>39</v>
      </c>
      <c r="D127" s="1" t="s">
        <v>8</v>
      </c>
      <c r="E127" s="1">
        <v>1</v>
      </c>
      <c r="F127" s="1">
        <v>2.5</v>
      </c>
      <c r="G127" s="1">
        <v>2.5</v>
      </c>
    </row>
    <row r="128" spans="1:7">
      <c r="A128" s="1" t="s">
        <v>297</v>
      </c>
      <c r="B128" s="1" t="s">
        <v>298</v>
      </c>
      <c r="C128" s="1" t="s">
        <v>34</v>
      </c>
      <c r="D128" s="1" t="s">
        <v>15</v>
      </c>
      <c r="E128" s="1">
        <v>1</v>
      </c>
      <c r="F128" s="1">
        <v>3.85</v>
      </c>
      <c r="G128" s="1">
        <v>3.85</v>
      </c>
    </row>
    <row r="129" spans="1:7">
      <c r="A129" s="1" t="s">
        <v>299</v>
      </c>
      <c r="B129" s="1" t="s">
        <v>300</v>
      </c>
      <c r="C129" s="1" t="s">
        <v>33</v>
      </c>
      <c r="D129" s="1" t="s">
        <v>12</v>
      </c>
      <c r="E129" s="1">
        <v>1</v>
      </c>
      <c r="F129" s="1">
        <v>2.5499999999999998</v>
      </c>
      <c r="G129" s="1">
        <v>2.5499999999999998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8F264-0CF3-481C-80CB-E5A55B74E645}">
  <dimension ref="A1:G63"/>
  <sheetViews>
    <sheetView workbookViewId="0">
      <selection activeCell="H4" sqref="H4"/>
    </sheetView>
  </sheetViews>
  <sheetFormatPr defaultColWidth="8.85546875" defaultRowHeight="15.75"/>
  <cols>
    <col min="1" max="1" width="12.42578125" style="1" bestFit="1" customWidth="1"/>
    <col min="2" max="2" width="7.7109375" style="1" bestFit="1" customWidth="1"/>
    <col min="3" max="3" width="12.85546875" style="1" bestFit="1" customWidth="1"/>
    <col min="4" max="4" width="19.5703125" style="1" bestFit="1" customWidth="1"/>
    <col min="5" max="5" width="19.28515625" style="1" bestFit="1" customWidth="1"/>
    <col min="6" max="6" width="13.7109375" style="1" bestFit="1" customWidth="1"/>
    <col min="7" max="7" width="11.7109375" style="1" bestFit="1" customWidth="1"/>
    <col min="8" max="16384" width="8.85546875" style="1"/>
  </cols>
  <sheetData>
    <row r="1" spans="1:7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</row>
    <row r="2" spans="1:7">
      <c r="A2" s="1" t="s">
        <v>7</v>
      </c>
      <c r="B2" s="1" t="s">
        <v>8</v>
      </c>
      <c r="C2" s="1">
        <v>3</v>
      </c>
      <c r="D2" s="2">
        <v>45558</v>
      </c>
      <c r="E2" s="2">
        <v>45771</v>
      </c>
      <c r="F2" s="1">
        <v>3</v>
      </c>
      <c r="G2" s="1">
        <v>7.46</v>
      </c>
    </row>
    <row r="3" spans="1:7">
      <c r="A3" s="1" t="s">
        <v>9</v>
      </c>
      <c r="B3" s="1" t="s">
        <v>8</v>
      </c>
      <c r="C3" s="1">
        <v>5</v>
      </c>
      <c r="D3" s="2">
        <v>45496</v>
      </c>
      <c r="E3" s="2">
        <v>45823</v>
      </c>
      <c r="F3" s="1">
        <v>6</v>
      </c>
      <c r="G3" s="1">
        <v>15.27</v>
      </c>
    </row>
    <row r="4" spans="1:7">
      <c r="A4" s="1" t="s">
        <v>9</v>
      </c>
      <c r="B4" s="1" t="s">
        <v>353</v>
      </c>
      <c r="C4" s="1">
        <v>4</v>
      </c>
      <c r="D4" s="2">
        <v>45585</v>
      </c>
      <c r="E4" s="2">
        <v>45827</v>
      </c>
      <c r="F4" s="1">
        <v>6</v>
      </c>
      <c r="G4" s="1">
        <v>30.77</v>
      </c>
    </row>
    <row r="5" spans="1:7">
      <c r="A5" s="1" t="s">
        <v>10</v>
      </c>
      <c r="B5" s="1" t="s">
        <v>353</v>
      </c>
      <c r="C5" s="1">
        <v>1</v>
      </c>
      <c r="D5" s="2">
        <v>45819</v>
      </c>
      <c r="E5" s="2">
        <v>45819</v>
      </c>
      <c r="F5" s="1">
        <v>1</v>
      </c>
      <c r="G5" s="1">
        <v>4.88</v>
      </c>
    </row>
    <row r="6" spans="1:7">
      <c r="A6" s="1" t="s">
        <v>11</v>
      </c>
      <c r="B6" s="1" t="s">
        <v>12</v>
      </c>
      <c r="C6" s="1">
        <v>2</v>
      </c>
      <c r="D6" s="2">
        <v>45676</v>
      </c>
      <c r="E6" s="2">
        <v>45820</v>
      </c>
      <c r="F6" s="1">
        <v>2</v>
      </c>
      <c r="G6" s="1">
        <v>5.89</v>
      </c>
    </row>
    <row r="7" spans="1:7">
      <c r="A7" s="1" t="s">
        <v>11</v>
      </c>
      <c r="B7" s="1" t="s">
        <v>8</v>
      </c>
      <c r="C7" s="1">
        <v>4</v>
      </c>
      <c r="D7" s="2">
        <v>45489</v>
      </c>
      <c r="E7" s="2">
        <v>45618</v>
      </c>
      <c r="F7" s="1">
        <v>5</v>
      </c>
      <c r="G7" s="1">
        <v>12.16</v>
      </c>
    </row>
    <row r="8" spans="1:7">
      <c r="A8" s="1" t="s">
        <v>13</v>
      </c>
      <c r="B8" s="1" t="s">
        <v>8</v>
      </c>
      <c r="C8" s="1">
        <v>2</v>
      </c>
      <c r="D8" s="2">
        <v>45573</v>
      </c>
      <c r="E8" s="2">
        <v>45735</v>
      </c>
      <c r="F8" s="1">
        <v>3</v>
      </c>
      <c r="G8" s="1">
        <v>7.24</v>
      </c>
    </row>
    <row r="9" spans="1:7">
      <c r="A9" s="1" t="s">
        <v>14</v>
      </c>
      <c r="B9" s="1" t="s">
        <v>8</v>
      </c>
      <c r="C9" s="1">
        <v>1</v>
      </c>
      <c r="D9" s="2">
        <v>45692</v>
      </c>
      <c r="E9" s="2">
        <v>45692</v>
      </c>
      <c r="F9" s="1">
        <v>1</v>
      </c>
      <c r="G9" s="1">
        <v>2.92</v>
      </c>
    </row>
    <row r="10" spans="1:7">
      <c r="A10" s="1" t="s">
        <v>14</v>
      </c>
      <c r="B10" s="1" t="s">
        <v>15</v>
      </c>
      <c r="C10" s="1">
        <v>1</v>
      </c>
      <c r="D10" s="2">
        <v>45658</v>
      </c>
      <c r="E10" s="2">
        <v>45658</v>
      </c>
      <c r="F10" s="1">
        <v>1</v>
      </c>
      <c r="G10" s="1">
        <v>4.1900000000000004</v>
      </c>
    </row>
    <row r="11" spans="1:7">
      <c r="A11" s="1" t="s">
        <v>16</v>
      </c>
      <c r="B11" s="1" t="s">
        <v>15</v>
      </c>
      <c r="C11" s="1">
        <v>2</v>
      </c>
      <c r="D11" s="2">
        <v>45641</v>
      </c>
      <c r="E11" s="2">
        <v>45829</v>
      </c>
      <c r="F11" s="1">
        <v>2</v>
      </c>
      <c r="G11" s="1">
        <v>7.65</v>
      </c>
    </row>
    <row r="12" spans="1:7">
      <c r="A12" s="1" t="s">
        <v>17</v>
      </c>
      <c r="B12" s="1" t="s">
        <v>8</v>
      </c>
      <c r="C12" s="1">
        <v>1</v>
      </c>
      <c r="D12" s="2">
        <v>45803</v>
      </c>
      <c r="E12" s="2">
        <v>45803</v>
      </c>
      <c r="F12" s="1">
        <v>1</v>
      </c>
      <c r="G12" s="1">
        <v>2.56</v>
      </c>
    </row>
    <row r="13" spans="1:7">
      <c r="A13" s="1" t="s">
        <v>18</v>
      </c>
      <c r="B13" s="1" t="s">
        <v>12</v>
      </c>
      <c r="C13" s="1">
        <v>3</v>
      </c>
      <c r="D13" s="2">
        <v>45693</v>
      </c>
      <c r="E13" s="2">
        <v>45820</v>
      </c>
      <c r="F13" s="1">
        <v>3</v>
      </c>
      <c r="G13" s="1">
        <v>8.6300000000000008</v>
      </c>
    </row>
    <row r="14" spans="1:7">
      <c r="A14" s="1" t="s">
        <v>18</v>
      </c>
      <c r="B14" s="1" t="s">
        <v>8</v>
      </c>
      <c r="C14" s="1">
        <v>2</v>
      </c>
      <c r="D14" s="2">
        <v>45607</v>
      </c>
      <c r="E14" s="2">
        <v>45676</v>
      </c>
      <c r="F14" s="1">
        <v>2</v>
      </c>
      <c r="G14" s="1">
        <v>6.08</v>
      </c>
    </row>
    <row r="15" spans="1:7">
      <c r="A15" s="1" t="s">
        <v>18</v>
      </c>
      <c r="B15" s="1" t="s">
        <v>353</v>
      </c>
      <c r="C15" s="1">
        <v>1</v>
      </c>
      <c r="D15" s="2">
        <v>45623</v>
      </c>
      <c r="E15" s="2">
        <v>45623</v>
      </c>
      <c r="F15" s="1">
        <v>1</v>
      </c>
      <c r="G15" s="1">
        <v>4.78</v>
      </c>
    </row>
    <row r="16" spans="1:7">
      <c r="A16" s="1" t="s">
        <v>19</v>
      </c>
      <c r="B16" s="1" t="s">
        <v>12</v>
      </c>
      <c r="C16" s="1">
        <v>2</v>
      </c>
      <c r="D16" s="2">
        <v>45542</v>
      </c>
      <c r="E16" s="2">
        <v>45577</v>
      </c>
      <c r="F16" s="1">
        <v>2</v>
      </c>
      <c r="G16" s="1">
        <v>5.21</v>
      </c>
    </row>
    <row r="17" spans="1:7">
      <c r="A17" s="1" t="s">
        <v>19</v>
      </c>
      <c r="B17" s="1" t="s">
        <v>8</v>
      </c>
      <c r="C17" s="1">
        <v>3</v>
      </c>
      <c r="D17" s="2">
        <v>45558</v>
      </c>
      <c r="E17" s="2">
        <v>45791</v>
      </c>
      <c r="F17" s="1">
        <v>5</v>
      </c>
      <c r="G17" s="1">
        <v>11.8</v>
      </c>
    </row>
    <row r="18" spans="1:7">
      <c r="A18" s="1" t="s">
        <v>19</v>
      </c>
      <c r="B18" s="1" t="s">
        <v>15</v>
      </c>
      <c r="C18" s="1">
        <v>2</v>
      </c>
      <c r="D18" s="2">
        <v>45503</v>
      </c>
      <c r="E18" s="2">
        <v>45783</v>
      </c>
      <c r="F18" s="1">
        <v>2</v>
      </c>
      <c r="G18" s="1">
        <v>7.65</v>
      </c>
    </row>
    <row r="19" spans="1:7">
      <c r="A19" s="1" t="s">
        <v>20</v>
      </c>
      <c r="B19" s="1" t="s">
        <v>12</v>
      </c>
      <c r="C19" s="1">
        <v>1</v>
      </c>
      <c r="D19" s="2">
        <v>45550</v>
      </c>
      <c r="E19" s="2">
        <v>45550</v>
      </c>
      <c r="F19" s="1">
        <v>1</v>
      </c>
      <c r="G19" s="1">
        <v>3.04</v>
      </c>
    </row>
    <row r="20" spans="1:7">
      <c r="A20" s="1" t="s">
        <v>20</v>
      </c>
      <c r="B20" s="1" t="s">
        <v>15</v>
      </c>
      <c r="C20" s="1">
        <v>1</v>
      </c>
      <c r="D20" s="2">
        <v>45630</v>
      </c>
      <c r="E20" s="2">
        <v>45630</v>
      </c>
      <c r="F20" s="1">
        <v>1</v>
      </c>
      <c r="G20" s="1">
        <v>3.94</v>
      </c>
    </row>
    <row r="21" spans="1:7">
      <c r="A21" s="1" t="s">
        <v>21</v>
      </c>
      <c r="B21" s="1" t="s">
        <v>12</v>
      </c>
      <c r="C21" s="1">
        <v>5</v>
      </c>
      <c r="D21" s="2">
        <v>45480</v>
      </c>
      <c r="E21" s="2">
        <v>45724</v>
      </c>
      <c r="F21" s="1">
        <v>6</v>
      </c>
      <c r="G21" s="1">
        <v>18.12</v>
      </c>
    </row>
    <row r="22" spans="1:7">
      <c r="A22" s="1" t="s">
        <v>21</v>
      </c>
      <c r="B22" s="1" t="s">
        <v>8</v>
      </c>
      <c r="C22" s="1">
        <v>2</v>
      </c>
      <c r="D22" s="2">
        <v>45700</v>
      </c>
      <c r="E22" s="2">
        <v>45820</v>
      </c>
      <c r="F22" s="1">
        <v>2</v>
      </c>
      <c r="G22" s="1">
        <v>5.37</v>
      </c>
    </row>
    <row r="23" spans="1:7">
      <c r="A23" s="1" t="s">
        <v>22</v>
      </c>
      <c r="B23" s="1" t="s">
        <v>8</v>
      </c>
      <c r="C23" s="1">
        <v>3</v>
      </c>
      <c r="D23" s="2">
        <v>45555</v>
      </c>
      <c r="E23" s="2">
        <v>45687</v>
      </c>
      <c r="F23" s="1">
        <v>3</v>
      </c>
      <c r="G23" s="1">
        <v>8.41</v>
      </c>
    </row>
    <row r="24" spans="1:7">
      <c r="A24" s="1" t="s">
        <v>23</v>
      </c>
      <c r="B24" s="1" t="s">
        <v>15</v>
      </c>
      <c r="C24" s="1">
        <v>2</v>
      </c>
      <c r="D24" s="2">
        <v>45580</v>
      </c>
      <c r="E24" s="2">
        <v>45739</v>
      </c>
      <c r="F24" s="1">
        <v>3</v>
      </c>
      <c r="G24" s="1">
        <v>12</v>
      </c>
    </row>
    <row r="25" spans="1:7">
      <c r="A25" s="1" t="s">
        <v>24</v>
      </c>
      <c r="B25" s="1" t="s">
        <v>8</v>
      </c>
      <c r="C25" s="1">
        <v>2</v>
      </c>
      <c r="D25" s="2">
        <v>45698</v>
      </c>
      <c r="E25" s="2">
        <v>45745</v>
      </c>
      <c r="F25" s="1">
        <v>3</v>
      </c>
      <c r="G25" s="1">
        <v>7.9</v>
      </c>
    </row>
    <row r="26" spans="1:7">
      <c r="A26" s="1" t="s">
        <v>24</v>
      </c>
      <c r="B26" s="1" t="s">
        <v>15</v>
      </c>
      <c r="C26" s="1">
        <v>6</v>
      </c>
      <c r="D26" s="2">
        <v>45533</v>
      </c>
      <c r="E26" s="2">
        <v>45825</v>
      </c>
      <c r="F26" s="1">
        <v>6</v>
      </c>
      <c r="G26" s="1">
        <v>24.17</v>
      </c>
    </row>
    <row r="27" spans="1:7">
      <c r="A27" s="1" t="s">
        <v>24</v>
      </c>
      <c r="B27" s="1" t="s">
        <v>353</v>
      </c>
      <c r="C27" s="1">
        <v>2</v>
      </c>
      <c r="D27" s="2">
        <v>45505</v>
      </c>
      <c r="E27" s="2">
        <v>45598</v>
      </c>
      <c r="F27" s="1">
        <v>2</v>
      </c>
      <c r="G27" s="1">
        <v>9.77</v>
      </c>
    </row>
    <row r="28" spans="1:7">
      <c r="A28" s="1" t="s">
        <v>25</v>
      </c>
      <c r="B28" s="1" t="s">
        <v>12</v>
      </c>
      <c r="C28" s="1">
        <v>2</v>
      </c>
      <c r="D28" s="2">
        <v>45519</v>
      </c>
      <c r="E28" s="2">
        <v>45584</v>
      </c>
      <c r="F28" s="1">
        <v>3</v>
      </c>
      <c r="G28" s="1">
        <v>8.56</v>
      </c>
    </row>
    <row r="29" spans="1:7">
      <c r="A29" s="1" t="s">
        <v>26</v>
      </c>
      <c r="B29" s="1" t="s">
        <v>12</v>
      </c>
      <c r="C29" s="1">
        <v>3</v>
      </c>
      <c r="D29" s="2">
        <v>45475</v>
      </c>
      <c r="E29" s="2">
        <v>45730</v>
      </c>
      <c r="F29" s="1">
        <v>3</v>
      </c>
      <c r="G29" s="1">
        <v>8.98</v>
      </c>
    </row>
    <row r="30" spans="1:7">
      <c r="A30" s="1" t="s">
        <v>27</v>
      </c>
      <c r="B30" s="1" t="s">
        <v>12</v>
      </c>
      <c r="C30" s="1">
        <v>1</v>
      </c>
      <c r="D30" s="2">
        <v>45738</v>
      </c>
      <c r="E30" s="2">
        <v>45738</v>
      </c>
      <c r="F30" s="1">
        <v>1</v>
      </c>
      <c r="G30" s="1">
        <v>2.85</v>
      </c>
    </row>
    <row r="31" spans="1:7">
      <c r="A31" s="1" t="s">
        <v>27</v>
      </c>
      <c r="B31" s="1" t="s">
        <v>8</v>
      </c>
      <c r="C31" s="1">
        <v>1</v>
      </c>
      <c r="D31" s="2">
        <v>45566</v>
      </c>
      <c r="E31" s="2">
        <v>45566</v>
      </c>
      <c r="F31" s="1">
        <v>2</v>
      </c>
      <c r="G31" s="1">
        <v>4.4000000000000004</v>
      </c>
    </row>
    <row r="32" spans="1:7">
      <c r="A32" s="1" t="s">
        <v>27</v>
      </c>
      <c r="B32" s="1" t="s">
        <v>353</v>
      </c>
      <c r="C32" s="1">
        <v>2</v>
      </c>
      <c r="D32" s="2">
        <v>45599</v>
      </c>
      <c r="E32" s="2">
        <v>45823</v>
      </c>
      <c r="F32" s="1">
        <v>2</v>
      </c>
      <c r="G32" s="1">
        <v>10.48</v>
      </c>
    </row>
    <row r="33" spans="1:7">
      <c r="A33" s="1" t="s">
        <v>28</v>
      </c>
      <c r="B33" s="1" t="s">
        <v>12</v>
      </c>
      <c r="C33" s="1">
        <v>1</v>
      </c>
      <c r="D33" s="2">
        <v>45818</v>
      </c>
      <c r="E33" s="2">
        <v>45818</v>
      </c>
      <c r="F33" s="1">
        <v>1</v>
      </c>
      <c r="G33" s="1">
        <v>2.75</v>
      </c>
    </row>
    <row r="34" spans="1:7">
      <c r="A34" s="1" t="s">
        <v>28</v>
      </c>
      <c r="B34" s="1" t="s">
        <v>8</v>
      </c>
      <c r="C34" s="1">
        <v>4</v>
      </c>
      <c r="D34" s="2">
        <v>45537</v>
      </c>
      <c r="E34" s="2">
        <v>45782</v>
      </c>
      <c r="F34" s="1">
        <v>5</v>
      </c>
      <c r="G34" s="1">
        <v>12.58</v>
      </c>
    </row>
    <row r="35" spans="1:7">
      <c r="A35" s="1" t="s">
        <v>28</v>
      </c>
      <c r="B35" s="1" t="s">
        <v>353</v>
      </c>
      <c r="C35" s="1">
        <v>1</v>
      </c>
      <c r="D35" s="2">
        <v>45487</v>
      </c>
      <c r="E35" s="2">
        <v>45487</v>
      </c>
      <c r="F35" s="1">
        <v>1</v>
      </c>
      <c r="G35" s="1">
        <v>5.12</v>
      </c>
    </row>
    <row r="36" spans="1:7">
      <c r="A36" s="1" t="s">
        <v>29</v>
      </c>
      <c r="B36" s="1" t="s">
        <v>12</v>
      </c>
      <c r="C36" s="1">
        <v>1</v>
      </c>
      <c r="D36" s="2">
        <v>45648</v>
      </c>
      <c r="E36" s="2">
        <v>45648</v>
      </c>
      <c r="F36" s="1">
        <v>1</v>
      </c>
      <c r="G36" s="1">
        <v>3.02</v>
      </c>
    </row>
    <row r="37" spans="1:7">
      <c r="A37" s="1" t="s">
        <v>30</v>
      </c>
      <c r="B37" s="1" t="s">
        <v>8</v>
      </c>
      <c r="C37" s="1">
        <v>2</v>
      </c>
      <c r="D37" s="2">
        <v>45584</v>
      </c>
      <c r="E37" s="2">
        <v>45636</v>
      </c>
      <c r="F37" s="1">
        <v>2</v>
      </c>
      <c r="G37" s="1">
        <v>5.21</v>
      </c>
    </row>
    <row r="38" spans="1:7">
      <c r="A38" s="1" t="s">
        <v>31</v>
      </c>
      <c r="B38" s="1" t="s">
        <v>8</v>
      </c>
      <c r="C38" s="1">
        <v>1</v>
      </c>
      <c r="D38" s="2">
        <v>45533</v>
      </c>
      <c r="E38" s="2">
        <v>45533</v>
      </c>
      <c r="F38" s="1">
        <v>1</v>
      </c>
      <c r="G38" s="1">
        <v>2.64</v>
      </c>
    </row>
    <row r="39" spans="1:7">
      <c r="A39" s="1" t="s">
        <v>32</v>
      </c>
      <c r="B39" s="1" t="s">
        <v>12</v>
      </c>
      <c r="C39" s="1">
        <v>1</v>
      </c>
      <c r="D39" s="2">
        <v>45488</v>
      </c>
      <c r="E39" s="2">
        <v>45488</v>
      </c>
      <c r="F39" s="1">
        <v>1</v>
      </c>
      <c r="G39" s="1">
        <v>2.97</v>
      </c>
    </row>
    <row r="40" spans="1:7">
      <c r="A40" s="1" t="s">
        <v>32</v>
      </c>
      <c r="B40" s="1" t="s">
        <v>8</v>
      </c>
      <c r="C40" s="1">
        <v>1</v>
      </c>
      <c r="D40" s="2">
        <v>45644</v>
      </c>
      <c r="E40" s="2">
        <v>45644</v>
      </c>
      <c r="F40" s="1">
        <v>1</v>
      </c>
      <c r="G40" s="1">
        <v>1.75</v>
      </c>
    </row>
    <row r="41" spans="1:7">
      <c r="A41" s="1" t="s">
        <v>33</v>
      </c>
      <c r="B41" s="1" t="s">
        <v>12</v>
      </c>
      <c r="C41" s="1">
        <v>2</v>
      </c>
      <c r="D41" s="2">
        <v>45828</v>
      </c>
      <c r="E41" s="2">
        <v>45837</v>
      </c>
      <c r="F41" s="1">
        <v>2</v>
      </c>
      <c r="G41" s="1">
        <v>5.7</v>
      </c>
    </row>
    <row r="42" spans="1:7">
      <c r="A42" s="1" t="s">
        <v>33</v>
      </c>
      <c r="B42" s="1" t="s">
        <v>8</v>
      </c>
      <c r="C42" s="1">
        <v>2</v>
      </c>
      <c r="D42" s="2">
        <v>45522</v>
      </c>
      <c r="E42" s="2">
        <v>45589</v>
      </c>
      <c r="F42" s="1">
        <v>2</v>
      </c>
      <c r="G42" s="1">
        <v>4.46</v>
      </c>
    </row>
    <row r="43" spans="1:7">
      <c r="A43" s="1" t="s">
        <v>33</v>
      </c>
      <c r="B43" s="1" t="s">
        <v>353</v>
      </c>
      <c r="C43" s="1">
        <v>2</v>
      </c>
      <c r="D43" s="2">
        <v>45513</v>
      </c>
      <c r="E43" s="2">
        <v>45660</v>
      </c>
      <c r="F43" s="1">
        <v>3</v>
      </c>
      <c r="G43" s="1">
        <v>14.81</v>
      </c>
    </row>
    <row r="44" spans="1:7">
      <c r="A44" s="1" t="s">
        <v>34</v>
      </c>
      <c r="B44" s="1" t="s">
        <v>12</v>
      </c>
      <c r="C44" s="1">
        <v>1</v>
      </c>
      <c r="D44" s="2">
        <v>45811</v>
      </c>
      <c r="E44" s="2">
        <v>45811</v>
      </c>
      <c r="F44" s="1">
        <v>1</v>
      </c>
      <c r="G44" s="1">
        <v>2.58</v>
      </c>
    </row>
    <row r="45" spans="1:7">
      <c r="A45" s="1" t="s">
        <v>34</v>
      </c>
      <c r="B45" s="1" t="s">
        <v>8</v>
      </c>
      <c r="C45" s="1">
        <v>2</v>
      </c>
      <c r="D45" s="2">
        <v>45561</v>
      </c>
      <c r="E45" s="2">
        <v>45708</v>
      </c>
      <c r="F45" s="1">
        <v>2</v>
      </c>
      <c r="G45" s="1">
        <v>4.91</v>
      </c>
    </row>
    <row r="46" spans="1:7">
      <c r="A46" s="1" t="s">
        <v>34</v>
      </c>
      <c r="B46" s="1" t="s">
        <v>15</v>
      </c>
      <c r="C46" s="1">
        <v>2</v>
      </c>
      <c r="D46" s="2">
        <v>45625</v>
      </c>
      <c r="E46" s="2">
        <v>45837</v>
      </c>
      <c r="F46" s="1">
        <v>2</v>
      </c>
      <c r="G46" s="1">
        <v>8.0299999999999994</v>
      </c>
    </row>
    <row r="47" spans="1:7">
      <c r="A47" s="1" t="s">
        <v>34</v>
      </c>
      <c r="B47" s="1" t="s">
        <v>353</v>
      </c>
      <c r="C47" s="1">
        <v>1</v>
      </c>
      <c r="D47" s="2">
        <v>45693</v>
      </c>
      <c r="E47" s="2">
        <v>45693</v>
      </c>
      <c r="F47" s="1">
        <v>1</v>
      </c>
      <c r="G47" s="1">
        <v>4.3600000000000003</v>
      </c>
    </row>
    <row r="48" spans="1:7">
      <c r="A48" s="1" t="s">
        <v>35</v>
      </c>
      <c r="B48" s="1" t="s">
        <v>12</v>
      </c>
      <c r="C48" s="1">
        <v>3</v>
      </c>
      <c r="D48" s="2">
        <v>45638</v>
      </c>
      <c r="E48" s="2">
        <v>45691</v>
      </c>
      <c r="F48" s="1">
        <v>3</v>
      </c>
      <c r="G48" s="1">
        <v>8.2799999999999994</v>
      </c>
    </row>
    <row r="49" spans="1:7">
      <c r="A49" s="1" t="s">
        <v>35</v>
      </c>
      <c r="B49" s="1" t="s">
        <v>8</v>
      </c>
      <c r="C49" s="1">
        <v>3</v>
      </c>
      <c r="D49" s="2">
        <v>45608</v>
      </c>
      <c r="E49" s="2">
        <v>45673</v>
      </c>
      <c r="F49" s="1">
        <v>3</v>
      </c>
      <c r="G49" s="1">
        <v>7.42</v>
      </c>
    </row>
    <row r="50" spans="1:7">
      <c r="A50" s="1" t="s">
        <v>35</v>
      </c>
      <c r="B50" s="1" t="s">
        <v>353</v>
      </c>
      <c r="C50" s="1">
        <v>5</v>
      </c>
      <c r="D50" s="2">
        <v>45486</v>
      </c>
      <c r="E50" s="2">
        <v>45760</v>
      </c>
      <c r="F50" s="1">
        <v>5</v>
      </c>
      <c r="G50" s="1">
        <v>24.28</v>
      </c>
    </row>
    <row r="51" spans="1:7">
      <c r="A51" s="1" t="s">
        <v>36</v>
      </c>
      <c r="B51" s="1" t="s">
        <v>8</v>
      </c>
      <c r="C51" s="1">
        <v>1</v>
      </c>
      <c r="D51" s="2">
        <v>45514</v>
      </c>
      <c r="E51" s="2">
        <v>45514</v>
      </c>
      <c r="F51" s="1">
        <v>1</v>
      </c>
      <c r="G51" s="1">
        <v>2.48</v>
      </c>
    </row>
    <row r="52" spans="1:7">
      <c r="A52" s="1" t="s">
        <v>36</v>
      </c>
      <c r="B52" s="1" t="s">
        <v>15</v>
      </c>
      <c r="C52" s="1">
        <v>1</v>
      </c>
      <c r="D52" s="2">
        <v>45547</v>
      </c>
      <c r="E52" s="2">
        <v>45547</v>
      </c>
      <c r="F52" s="1">
        <v>2</v>
      </c>
      <c r="G52" s="1">
        <v>7.48</v>
      </c>
    </row>
    <row r="53" spans="1:7">
      <c r="A53" s="1" t="s">
        <v>36</v>
      </c>
      <c r="B53" s="1" t="s">
        <v>353</v>
      </c>
      <c r="C53" s="1">
        <v>2</v>
      </c>
      <c r="D53" s="2">
        <v>45478</v>
      </c>
      <c r="E53" s="2">
        <v>45516</v>
      </c>
      <c r="F53" s="1">
        <v>2</v>
      </c>
      <c r="G53" s="1">
        <v>10.01</v>
      </c>
    </row>
    <row r="54" spans="1:7">
      <c r="A54" s="1" t="s">
        <v>37</v>
      </c>
      <c r="B54" s="1" t="s">
        <v>12</v>
      </c>
      <c r="C54" s="1">
        <v>3</v>
      </c>
      <c r="D54" s="2">
        <v>45530</v>
      </c>
      <c r="E54" s="2">
        <v>45804</v>
      </c>
      <c r="F54" s="1">
        <v>3</v>
      </c>
      <c r="G54" s="1">
        <v>8.4499999999999993</v>
      </c>
    </row>
    <row r="55" spans="1:7">
      <c r="A55" s="1" t="s">
        <v>37</v>
      </c>
      <c r="B55" s="1" t="s">
        <v>353</v>
      </c>
      <c r="C55" s="1">
        <v>1</v>
      </c>
      <c r="D55" s="2">
        <v>45798</v>
      </c>
      <c r="E55" s="2">
        <v>45798</v>
      </c>
      <c r="F55" s="1">
        <v>1</v>
      </c>
      <c r="G55" s="1">
        <v>4.82</v>
      </c>
    </row>
    <row r="56" spans="1:7">
      <c r="A56" s="1" t="s">
        <v>38</v>
      </c>
      <c r="B56" s="1" t="s">
        <v>12</v>
      </c>
      <c r="C56" s="1">
        <v>1</v>
      </c>
      <c r="D56" s="2">
        <v>45488</v>
      </c>
      <c r="E56" s="2">
        <v>45488</v>
      </c>
      <c r="F56" s="1">
        <v>1</v>
      </c>
      <c r="G56" s="1">
        <v>2.98</v>
      </c>
    </row>
    <row r="57" spans="1:7">
      <c r="A57" s="1" t="s">
        <v>38</v>
      </c>
      <c r="B57" s="1" t="s">
        <v>8</v>
      </c>
      <c r="C57" s="1">
        <v>1</v>
      </c>
      <c r="D57" s="2">
        <v>45716</v>
      </c>
      <c r="E57" s="2">
        <v>45716</v>
      </c>
      <c r="F57" s="1">
        <v>1</v>
      </c>
      <c r="G57" s="1">
        <v>2.61</v>
      </c>
    </row>
    <row r="58" spans="1:7">
      <c r="A58" s="1" t="s">
        <v>38</v>
      </c>
      <c r="B58" s="1" t="s">
        <v>15</v>
      </c>
      <c r="C58" s="1">
        <v>6</v>
      </c>
      <c r="D58" s="2">
        <v>45515</v>
      </c>
      <c r="E58" s="2">
        <v>45832</v>
      </c>
      <c r="F58" s="1">
        <v>7</v>
      </c>
      <c r="G58" s="1">
        <v>28.19</v>
      </c>
    </row>
    <row r="59" spans="1:7">
      <c r="A59" s="1" t="s">
        <v>38</v>
      </c>
      <c r="B59" s="1" t="s">
        <v>353</v>
      </c>
      <c r="C59" s="1">
        <v>2</v>
      </c>
      <c r="D59" s="2">
        <v>45503</v>
      </c>
      <c r="E59" s="2">
        <v>45700</v>
      </c>
      <c r="F59" s="1">
        <v>2</v>
      </c>
      <c r="G59" s="1">
        <v>10.45</v>
      </c>
    </row>
    <row r="60" spans="1:7">
      <c r="A60" s="1" t="s">
        <v>39</v>
      </c>
      <c r="B60" s="1" t="s">
        <v>12</v>
      </c>
      <c r="C60" s="1">
        <v>1</v>
      </c>
      <c r="D60" s="2">
        <v>45478</v>
      </c>
      <c r="E60" s="2">
        <v>45478</v>
      </c>
      <c r="F60" s="1">
        <v>1</v>
      </c>
      <c r="G60" s="1">
        <v>3.14</v>
      </c>
    </row>
    <row r="61" spans="1:7">
      <c r="A61" s="1" t="s">
        <v>39</v>
      </c>
      <c r="B61" s="1" t="s">
        <v>8</v>
      </c>
      <c r="C61" s="1">
        <v>2</v>
      </c>
      <c r="D61" s="2">
        <v>45648</v>
      </c>
      <c r="E61" s="2">
        <v>45834</v>
      </c>
      <c r="F61" s="1">
        <v>2</v>
      </c>
      <c r="G61" s="1">
        <v>4.78</v>
      </c>
    </row>
    <row r="63" spans="1:7">
      <c r="D63" s="2">
        <f>MIN(D2:D61)</f>
        <v>45475</v>
      </c>
      <c r="E63" s="2">
        <f>MAX(E2:E61)</f>
        <v>45837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A7FE7-4EB5-44B6-BFF4-11D82A37F631}">
  <dimension ref="A1:F55"/>
  <sheetViews>
    <sheetView workbookViewId="0">
      <selection activeCell="A35" sqref="A35:B37"/>
    </sheetView>
  </sheetViews>
  <sheetFormatPr defaultColWidth="8.85546875" defaultRowHeight="15.75"/>
  <cols>
    <col min="1" max="1" width="12.5703125" style="1" bestFit="1" customWidth="1"/>
    <col min="2" max="2" width="17.5703125" style="1" bestFit="1" customWidth="1"/>
    <col min="3" max="3" width="76" style="1" bestFit="1" customWidth="1"/>
    <col min="4" max="16384" width="8.85546875" style="1"/>
  </cols>
  <sheetData>
    <row r="1" spans="1:2">
      <c r="A1" s="6" t="s">
        <v>0</v>
      </c>
      <c r="B1" s="6" t="s">
        <v>303</v>
      </c>
    </row>
    <row r="2" spans="1:2">
      <c r="A2" s="1" t="s">
        <v>7</v>
      </c>
      <c r="B2" s="1">
        <f>SUMIFS(summary_cb!C:C, summary_cb!A:A, A2)</f>
        <v>3</v>
      </c>
    </row>
    <row r="3" spans="1:2">
      <c r="A3" s="1" t="s">
        <v>9</v>
      </c>
      <c r="B3" s="1">
        <f>SUMIFS(summary_cb!C:C, summary_cb!A:A, A3)</f>
        <v>9</v>
      </c>
    </row>
    <row r="4" spans="1:2">
      <c r="A4" s="1" t="s">
        <v>10</v>
      </c>
      <c r="B4" s="1">
        <f>SUMIFS(summary_cb!C:C, summary_cb!A:A, A4)</f>
        <v>1</v>
      </c>
    </row>
    <row r="5" spans="1:2">
      <c r="A5" s="1" t="s">
        <v>301</v>
      </c>
      <c r="B5" s="1">
        <f>SUMIFS(summary_cb!C:C, summary_cb!A:A, A5)</f>
        <v>0</v>
      </c>
    </row>
    <row r="6" spans="1:2">
      <c r="A6" s="1" t="s">
        <v>302</v>
      </c>
      <c r="B6" s="1">
        <f>SUMIFS(summary_cb!C:C, summary_cb!A:A, A6)</f>
        <v>0</v>
      </c>
    </row>
    <row r="7" spans="1:2">
      <c r="A7" s="1" t="s">
        <v>11</v>
      </c>
      <c r="B7" s="1">
        <f>SUMIFS(summary_cb!C:C, summary_cb!A:A, A7)</f>
        <v>6</v>
      </c>
    </row>
    <row r="8" spans="1:2">
      <c r="A8" s="1" t="s">
        <v>13</v>
      </c>
      <c r="B8" s="1">
        <f>SUMIFS(summary_cb!C:C, summary_cb!A:A, A8)</f>
        <v>2</v>
      </c>
    </row>
    <row r="9" spans="1:2">
      <c r="A9" s="1" t="s">
        <v>14</v>
      </c>
      <c r="B9" s="1">
        <f>SUMIFS(summary_cb!C:C, summary_cb!A:A, A9)</f>
        <v>2</v>
      </c>
    </row>
    <row r="10" spans="1:2">
      <c r="A10" s="1" t="s">
        <v>16</v>
      </c>
      <c r="B10" s="1">
        <f>SUMIFS(summary_cb!C:C, summary_cb!A:A, A10)</f>
        <v>2</v>
      </c>
    </row>
    <row r="11" spans="1:2">
      <c r="A11" s="1" t="s">
        <v>17</v>
      </c>
      <c r="B11" s="1">
        <f>SUMIFS(summary_cb!C:C, summary_cb!A:A, A11)</f>
        <v>1</v>
      </c>
    </row>
    <row r="12" spans="1:2">
      <c r="A12" s="1" t="s">
        <v>18</v>
      </c>
      <c r="B12" s="1">
        <f>SUMIFS(summary_cb!C:C, summary_cb!A:A, A12)</f>
        <v>6</v>
      </c>
    </row>
    <row r="13" spans="1:2">
      <c r="A13" s="1" t="s">
        <v>19</v>
      </c>
      <c r="B13" s="1">
        <f>SUMIFS(summary_cb!C:C, summary_cb!A:A, A13)</f>
        <v>7</v>
      </c>
    </row>
    <row r="14" spans="1:2">
      <c r="A14" s="1" t="s">
        <v>20</v>
      </c>
      <c r="B14" s="1">
        <f>SUMIFS(summary_cb!C:C, summary_cb!A:A, A14)</f>
        <v>2</v>
      </c>
    </row>
    <row r="15" spans="1:2">
      <c r="A15" s="1" t="s">
        <v>21</v>
      </c>
      <c r="B15" s="1">
        <f>SUMIFS(summary_cb!C:C, summary_cb!A:A, A15)</f>
        <v>7</v>
      </c>
    </row>
    <row r="16" spans="1:2">
      <c r="A16" s="1" t="s">
        <v>22</v>
      </c>
      <c r="B16" s="1">
        <f>SUMIFS(summary_cb!C:C, summary_cb!A:A, A16)</f>
        <v>3</v>
      </c>
    </row>
    <row r="17" spans="1:2">
      <c r="A17" s="1" t="s">
        <v>23</v>
      </c>
      <c r="B17" s="1">
        <f>SUMIFS(summary_cb!C:C, summary_cb!A:A, A17)</f>
        <v>2</v>
      </c>
    </row>
    <row r="18" spans="1:2">
      <c r="A18" s="1" t="s">
        <v>24</v>
      </c>
      <c r="B18" s="1">
        <f>SUMIFS(summary_cb!C:C, summary_cb!A:A, A18)</f>
        <v>10</v>
      </c>
    </row>
    <row r="19" spans="1:2">
      <c r="A19" s="1" t="s">
        <v>25</v>
      </c>
      <c r="B19" s="1">
        <f>SUMIFS(summary_cb!C:C, summary_cb!A:A, A19)</f>
        <v>2</v>
      </c>
    </row>
    <row r="20" spans="1:2">
      <c r="A20" s="1" t="s">
        <v>26</v>
      </c>
      <c r="B20" s="1">
        <f>SUMIFS(summary_cb!C:C, summary_cb!A:A, A20)</f>
        <v>3</v>
      </c>
    </row>
    <row r="21" spans="1:2">
      <c r="A21" s="1" t="s">
        <v>27</v>
      </c>
      <c r="B21" s="1">
        <f>SUMIFS(summary_cb!C:C, summary_cb!A:A, A21)</f>
        <v>4</v>
      </c>
    </row>
    <row r="22" spans="1:2">
      <c r="A22" s="1" t="s">
        <v>28</v>
      </c>
      <c r="B22" s="1">
        <f>SUMIFS(summary_cb!C:C, summary_cb!A:A, A22)</f>
        <v>6</v>
      </c>
    </row>
    <row r="23" spans="1:2">
      <c r="A23" s="1" t="s">
        <v>29</v>
      </c>
      <c r="B23" s="1">
        <f>SUMIFS(summary_cb!C:C, summary_cb!A:A, A23)</f>
        <v>1</v>
      </c>
    </row>
    <row r="24" spans="1:2">
      <c r="A24" s="1" t="s">
        <v>30</v>
      </c>
      <c r="B24" s="1">
        <f>SUMIFS(summary_cb!C:C, summary_cb!A:A, A24)</f>
        <v>2</v>
      </c>
    </row>
    <row r="25" spans="1:2">
      <c r="A25" s="1" t="s">
        <v>31</v>
      </c>
      <c r="B25" s="1">
        <f>SUMIFS(summary_cb!C:C, summary_cb!A:A, A25)</f>
        <v>1</v>
      </c>
    </row>
    <row r="26" spans="1:2">
      <c r="A26" s="1" t="s">
        <v>32</v>
      </c>
      <c r="B26" s="1">
        <f>SUMIFS(summary_cb!C:C, summary_cb!A:A, A26)</f>
        <v>2</v>
      </c>
    </row>
    <row r="27" spans="1:2">
      <c r="A27" s="1" t="s">
        <v>33</v>
      </c>
      <c r="B27" s="1">
        <f>SUMIFS(summary_cb!C:C, summary_cb!A:A, A27)</f>
        <v>6</v>
      </c>
    </row>
    <row r="28" spans="1:2">
      <c r="A28" s="1" t="s">
        <v>34</v>
      </c>
      <c r="B28" s="1">
        <f>SUMIFS(summary_cb!C:C, summary_cb!A:A, A28)</f>
        <v>6</v>
      </c>
    </row>
    <row r="29" spans="1:2">
      <c r="A29" s="1" t="s">
        <v>35</v>
      </c>
      <c r="B29" s="1">
        <f>SUMIFS(summary_cb!C:C, summary_cb!A:A, A29)</f>
        <v>11</v>
      </c>
    </row>
    <row r="30" spans="1:2">
      <c r="A30" s="1" t="s">
        <v>36</v>
      </c>
      <c r="B30" s="1">
        <f>SUMIFS(summary_cb!C:C, summary_cb!A:A, A30)</f>
        <v>4</v>
      </c>
    </row>
    <row r="31" spans="1:2">
      <c r="A31" s="1" t="s">
        <v>37</v>
      </c>
      <c r="B31" s="1">
        <f>SUMIFS(summary_cb!C:C, summary_cb!A:A, A31)</f>
        <v>4</v>
      </c>
    </row>
    <row r="32" spans="1:2">
      <c r="A32" s="1" t="s">
        <v>38</v>
      </c>
      <c r="B32" s="1">
        <f>SUMIFS(summary_cb!C:C, summary_cb!A:A, A32)</f>
        <v>10</v>
      </c>
    </row>
    <row r="33" spans="1:6">
      <c r="A33" s="1" t="s">
        <v>39</v>
      </c>
      <c r="B33" s="1">
        <f>SUMIFS(summary_cb!C:C, summary_cb!A:A, A33)</f>
        <v>3</v>
      </c>
    </row>
    <row r="35" spans="1:6">
      <c r="A35" s="1" t="s">
        <v>314</v>
      </c>
      <c r="B35" s="1">
        <f>COUNT(n_purchases_total)</f>
        <v>32</v>
      </c>
    </row>
    <row r="36" spans="1:6">
      <c r="A36" s="1" t="s">
        <v>336</v>
      </c>
      <c r="B36" s="1">
        <f>AVERAGE(B2:B33)</f>
        <v>4</v>
      </c>
      <c r="C36" s="1" t="s">
        <v>308</v>
      </c>
    </row>
    <row r="37" spans="1:6">
      <c r="A37" s="1" t="s">
        <v>335</v>
      </c>
      <c r="B37" s="3">
        <f>_xlfn.VAR.S(B2:B33)</f>
        <v>9.2903225806451619</v>
      </c>
    </row>
    <row r="39" spans="1:6">
      <c r="A39" s="1" t="s">
        <v>333</v>
      </c>
      <c r="B39" s="3">
        <f>mean_cat^2/(variance_cat-mean_cat)</f>
        <v>3.0243902439024386</v>
      </c>
      <c r="C39" s="1" t="s">
        <v>306</v>
      </c>
    </row>
    <row r="40" spans="1:6">
      <c r="A40" s="4" t="s">
        <v>334</v>
      </c>
      <c r="B40" s="3">
        <f>r_shape/mean_cat</f>
        <v>0.75609756097560965</v>
      </c>
      <c r="C40" s="1" t="s">
        <v>307</v>
      </c>
    </row>
    <row r="41" spans="1:6">
      <c r="A41" s="4" t="s">
        <v>331</v>
      </c>
      <c r="B41" s="3">
        <f>r_shape*alpha_scale</f>
        <v>2.286734086853063</v>
      </c>
      <c r="C41" s="1" t="s">
        <v>332</v>
      </c>
    </row>
    <row r="43" spans="1:6">
      <c r="A43" s="1" t="s">
        <v>304</v>
      </c>
      <c r="B43" s="11">
        <f>(B40/(B40+1))^B39</f>
        <v>7.8191847573035933E-2</v>
      </c>
    </row>
    <row r="44" spans="1:6">
      <c r="A44" s="1" t="s">
        <v>305</v>
      </c>
      <c r="B44" s="11">
        <f>1-B43</f>
        <v>0.92180815242696412</v>
      </c>
      <c r="C44" s="1" t="s">
        <v>316</v>
      </c>
    </row>
    <row r="45" spans="1:6">
      <c r="A45" s="1" t="s">
        <v>317</v>
      </c>
      <c r="B45" s="11">
        <f>mean_cat/B44</f>
        <v>4.3392977046999208</v>
      </c>
      <c r="C45" s="1" t="s">
        <v>318</v>
      </c>
    </row>
    <row r="47" spans="1:6">
      <c r="A47" s="1" t="s">
        <v>319</v>
      </c>
      <c r="B47" s="1" t="str" cm="1">
        <f t="array" ref="B47:B50">_xlfn.UNIQUE(summary_cb!B2:B61,FALSE,FALSE)</f>
        <v>banana</v>
      </c>
      <c r="C47" s="1" t="str" cm="1">
        <f t="array" ref="C47:F47">TRANSPOSE(_xlfn.ANCHORARRAY(B47))</f>
        <v>banana</v>
      </c>
      <c r="D47" s="1" t="str">
        <v>durian</v>
      </c>
      <c r="E47" s="1" t="str">
        <v>apple</v>
      </c>
      <c r="F47" s="1" t="str">
        <v>cherry</v>
      </c>
    </row>
    <row r="48" spans="1:6">
      <c r="B48" s="1" t="str">
        <v>durian</v>
      </c>
    </row>
    <row r="49" spans="1:2">
      <c r="B49" s="1" t="str">
        <v>apple</v>
      </c>
    </row>
    <row r="50" spans="1:2">
      <c r="B50" s="1" t="str">
        <v>cherry</v>
      </c>
    </row>
    <row r="52" spans="1:2">
      <c r="A52" s="1" t="s">
        <v>325</v>
      </c>
      <c r="B52" s="1" t="str" cm="1">
        <f t="array" ref="B52:B55">_xlfn._xlws.SORT(_xlfn.ANCHORARRAY(B47))</f>
        <v>apple</v>
      </c>
    </row>
    <row r="53" spans="1:2">
      <c r="B53" s="1" t="str">
        <v>banana</v>
      </c>
    </row>
    <row r="54" spans="1:2">
      <c r="B54" s="1" t="str">
        <v>cherry</v>
      </c>
    </row>
    <row r="55" spans="1:2">
      <c r="B55" s="1" t="str">
        <v>durian</v>
      </c>
    </row>
  </sheetData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87BDA-A0D4-464C-B6F8-46D8BC532CA3}">
  <dimension ref="A2:C28"/>
  <sheetViews>
    <sheetView workbookViewId="0">
      <selection activeCell="B2" sqref="B2"/>
    </sheetView>
  </sheetViews>
  <sheetFormatPr defaultColWidth="8.85546875" defaultRowHeight="15.75"/>
  <cols>
    <col min="1" max="1" width="5" style="1" bestFit="1" customWidth="1"/>
    <col min="2" max="3" width="8.28515625" style="1" bestFit="1" customWidth="1"/>
    <col min="4" max="16384" width="8.85546875" style="1"/>
  </cols>
  <sheetData>
    <row r="2" spans="1:3">
      <c r="A2" s="1" t="s">
        <v>309</v>
      </c>
      <c r="B2" s="3">
        <f>r_shape</f>
        <v>3.0243902439024386</v>
      </c>
    </row>
    <row r="3" spans="1:3">
      <c r="A3" s="1" t="s">
        <v>315</v>
      </c>
      <c r="B3" s="3">
        <f>alpha_scale</f>
        <v>0.75609756097560965</v>
      </c>
    </row>
    <row r="5" spans="1:3">
      <c r="A5" s="9" t="s">
        <v>310</v>
      </c>
      <c r="B5" s="9" t="s">
        <v>311</v>
      </c>
      <c r="C5" s="9" t="s">
        <v>313</v>
      </c>
    </row>
    <row r="6" spans="1:3">
      <c r="A6" s="1">
        <v>0</v>
      </c>
      <c r="B6" s="7" cm="1">
        <f t="array" ref="B6:B26">_xlfn.GAMMA(x + r_shape)/(_xlfn.GAMMA(r_shape)*FACT(x)) * (alpha_scale/(alpha_scale+1))^r_shape * (1/(alpha_scale+1))^x</f>
        <v>7.8191847573035933E-2</v>
      </c>
      <c r="C6" s="7" cm="1">
        <f t="array" ref="C6:C26">COUNTIF(n_purchases_total,x)/n_customers</f>
        <v>6.25E-2</v>
      </c>
    </row>
    <row r="7" spans="1:3">
      <c r="A7" s="1">
        <v>1</v>
      </c>
      <c r="B7" s="7">
        <v>0.13466373748689517</v>
      </c>
      <c r="C7" s="7">
        <v>0.125</v>
      </c>
    </row>
    <row r="8" spans="1:3">
      <c r="A8" s="1">
        <v>2</v>
      </c>
      <c r="B8" s="7">
        <v>0.15430219920373406</v>
      </c>
      <c r="C8" s="7">
        <v>0.25</v>
      </c>
    </row>
    <row r="9" spans="1:3">
      <c r="A9" s="1">
        <v>3</v>
      </c>
      <c r="B9" s="7">
        <v>0.14715857887022782</v>
      </c>
      <c r="C9" s="7">
        <v>0.125</v>
      </c>
    </row>
    <row r="10" spans="1:3">
      <c r="A10" s="1">
        <v>4</v>
      </c>
      <c r="B10" s="7">
        <v>0.12620892007273013</v>
      </c>
      <c r="C10" s="7">
        <v>9.375E-2</v>
      </c>
    </row>
    <row r="11" spans="1:3">
      <c r="A11" s="1">
        <v>5</v>
      </c>
      <c r="B11" s="7">
        <v>0.10096713605818411</v>
      </c>
      <c r="C11" s="7">
        <v>0</v>
      </c>
    </row>
    <row r="12" spans="1:3">
      <c r="A12" s="1">
        <v>6</v>
      </c>
      <c r="B12" s="7">
        <v>7.6893953155422592E-2</v>
      </c>
      <c r="C12" s="7">
        <v>0.15625</v>
      </c>
    </row>
    <row r="13" spans="1:3">
      <c r="A13" s="1">
        <v>7</v>
      </c>
      <c r="B13" s="7">
        <v>5.6449925927592001E-2</v>
      </c>
      <c r="C13" s="7">
        <v>6.25E-2</v>
      </c>
    </row>
    <row r="14" spans="1:3">
      <c r="A14" s="1">
        <v>8</v>
      </c>
      <c r="B14" s="7">
        <v>4.0279374229583852E-2</v>
      </c>
      <c r="C14" s="7">
        <v>0</v>
      </c>
    </row>
    <row r="15" spans="1:3">
      <c r="A15" s="1">
        <v>9</v>
      </c>
      <c r="B15" s="7">
        <v>2.8096106715697389E-2</v>
      </c>
      <c r="C15" s="7">
        <v>3.125E-2</v>
      </c>
    </row>
    <row r="16" spans="1:3">
      <c r="A16" s="1">
        <v>10</v>
      </c>
      <c r="B16" s="7">
        <v>1.9238028626165027E-2</v>
      </c>
      <c r="C16" s="7">
        <v>6.25E-2</v>
      </c>
    </row>
    <row r="17" spans="1:3">
      <c r="A17" s="1">
        <v>11</v>
      </c>
      <c r="B17" s="7">
        <v>1.2971095058550658E-2</v>
      </c>
      <c r="C17" s="7">
        <v>3.125E-2</v>
      </c>
    </row>
    <row r="18" spans="1:3">
      <c r="A18" s="1">
        <v>12</v>
      </c>
      <c r="B18" s="7">
        <v>8.6323838641974883E-3</v>
      </c>
      <c r="C18" s="7">
        <v>0</v>
      </c>
    </row>
    <row r="19" spans="1:3">
      <c r="A19" s="1">
        <v>13</v>
      </c>
      <c r="B19" s="7">
        <v>5.681141517463302E-3</v>
      </c>
      <c r="C19" s="7">
        <v>0</v>
      </c>
    </row>
    <row r="20" spans="1:3">
      <c r="A20" s="1">
        <v>14</v>
      </c>
      <c r="B20" s="7">
        <v>3.7028868819180484E-3</v>
      </c>
      <c r="C20" s="7">
        <v>0</v>
      </c>
    </row>
    <row r="21" spans="1:3">
      <c r="A21" s="1">
        <v>15</v>
      </c>
      <c r="B21" s="7">
        <v>2.3931620773877753E-3</v>
      </c>
      <c r="C21" s="7">
        <v>0</v>
      </c>
    </row>
    <row r="22" spans="1:3">
      <c r="A22" s="1">
        <v>16</v>
      </c>
      <c r="B22" s="7">
        <v>1.5351968534631649E-3</v>
      </c>
      <c r="C22" s="7">
        <v>0</v>
      </c>
    </row>
    <row r="23" spans="1:3">
      <c r="A23" s="1">
        <v>17</v>
      </c>
      <c r="B23" s="7">
        <v>9.78311720344174E-4</v>
      </c>
      <c r="C23" s="7">
        <v>0</v>
      </c>
    </row>
    <row r="24" spans="1:3">
      <c r="A24" s="1">
        <v>18</v>
      </c>
      <c r="B24" s="7">
        <v>6.1974839691556123E-4</v>
      </c>
      <c r="C24" s="7">
        <v>0</v>
      </c>
    </row>
    <row r="25" spans="1:3">
      <c r="A25" s="1">
        <v>19</v>
      </c>
      <c r="B25" s="7">
        <v>3.9051397524942467E-4</v>
      </c>
      <c r="C25" s="7">
        <v>0</v>
      </c>
    </row>
    <row r="26" spans="1:3">
      <c r="A26" s="1">
        <v>20</v>
      </c>
      <c r="B26" s="7">
        <v>2.4488480531266042E-4</v>
      </c>
      <c r="C26" s="7">
        <v>0</v>
      </c>
    </row>
    <row r="27" spans="1:3">
      <c r="C27" s="7"/>
    </row>
    <row r="28" spans="1:3">
      <c r="A28" s="5" t="s">
        <v>312</v>
      </c>
      <c r="B28" s="8">
        <f>SUM(_xlfn.ANCHORARRAY(B6))</f>
        <v>0.99959913307007042</v>
      </c>
      <c r="C28" s="8">
        <f>SUM(_xlfn.ANCHORARRAY(C6))</f>
        <v>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F4B51-00F5-442E-A6FB-86C7DD2084C1}">
  <dimension ref="A2:R12"/>
  <sheetViews>
    <sheetView tabSelected="1" workbookViewId="0">
      <selection activeCell="M3" sqref="M3"/>
    </sheetView>
  </sheetViews>
  <sheetFormatPr defaultColWidth="8.85546875" defaultRowHeight="15.75"/>
  <cols>
    <col min="1" max="1" width="7.7109375" style="1" bestFit="1" customWidth="1"/>
    <col min="2" max="2" width="7.28515625" style="1" bestFit="1" customWidth="1"/>
    <col min="3" max="3" width="15.85546875" style="1" bestFit="1" customWidth="1"/>
    <col min="4" max="4" width="13.7109375" style="1" bestFit="1" customWidth="1"/>
    <col min="5" max="5" width="12.85546875" style="1" bestFit="1" customWidth="1"/>
    <col min="6" max="6" width="7.7109375" style="1" bestFit="1" customWidth="1"/>
    <col min="7" max="8" width="7.28515625" style="1" customWidth="1"/>
    <col min="9" max="10" width="7.7109375" style="1" customWidth="1"/>
    <col min="11" max="11" width="22.7109375" style="1" bestFit="1" customWidth="1"/>
    <col min="12" max="12" width="22.140625" style="1" bestFit="1" customWidth="1"/>
    <col min="13" max="13" width="18.7109375" style="1" bestFit="1" customWidth="1"/>
    <col min="14" max="14" width="8" style="1" customWidth="1"/>
    <col min="15" max="15" width="9.7109375" style="1" customWidth="1"/>
    <col min="16" max="16384" width="8.85546875" style="1"/>
  </cols>
  <sheetData>
    <row r="2" spans="1:18">
      <c r="A2" s="10" t="s">
        <v>319</v>
      </c>
      <c r="B2" s="10" t="s">
        <v>320</v>
      </c>
      <c r="C2" s="10" t="s">
        <v>321</v>
      </c>
      <c r="D2" s="10" t="s">
        <v>322</v>
      </c>
      <c r="E2" s="10" t="s">
        <v>323</v>
      </c>
      <c r="F2" s="10" t="s">
        <v>330</v>
      </c>
      <c r="G2" s="10" t="s">
        <v>341</v>
      </c>
      <c r="H2" s="10" t="s">
        <v>351</v>
      </c>
      <c r="I2" s="10"/>
      <c r="J2" s="10" t="s">
        <v>347</v>
      </c>
      <c r="K2" s="10" t="s">
        <v>345</v>
      </c>
      <c r="L2" s="10" t="s">
        <v>346</v>
      </c>
      <c r="M2" s="10" t="s">
        <v>324</v>
      </c>
      <c r="R2" s="1" t="s">
        <v>337</v>
      </c>
    </row>
    <row r="3" spans="1:18">
      <c r="A3" s="1" t="str" cm="1">
        <f t="array" ref="A3:A6">_xlfn._xlws.SORT(_xlfn.ANCHORARRAY(customer_summary!B47))</f>
        <v>apple</v>
      </c>
      <c r="B3" s="1">
        <f>COUNTIF(brand,A3)</f>
        <v>17</v>
      </c>
      <c r="C3" s="1">
        <f>SUMIFS(n_purchases,brand,A3)</f>
        <v>33</v>
      </c>
      <c r="D3" s="12">
        <f>C3/$C$8</f>
        <v>0.2578125</v>
      </c>
      <c r="E3" s="11">
        <f>C3/B3</f>
        <v>1.9411764705882353</v>
      </c>
      <c r="F3" s="11">
        <f>D3*alpha_0</f>
        <v>0.58954863176680528</v>
      </c>
      <c r="G3" s="11">
        <f>IFERROR( (mean_cat*D3) / ( (1 - M3)^(-1/r_shape) - 1 ), NA() )</f>
        <v>3.6222358430126986</v>
      </c>
      <c r="H3" s="11">
        <f xml:space="preserve"> ( s_hat / ( s_hat + mean_cat * D3 ) ) ^ r_shape</f>
        <v>0.52742275026615526</v>
      </c>
      <c r="I3" s="11"/>
      <c r="J3" s="12">
        <f>1-(1-D3)^r_shape</f>
        <v>0.59413397049706895</v>
      </c>
      <c r="K3" s="12">
        <f>1 - (alpha_0 / (alpha_0 + E3 * D3)) ^ r_shape</f>
        <v>0.4503968799236634</v>
      </c>
      <c r="L3" s="12">
        <f>1 - ( s_hat / ( s_hat + mean_cat * D3 ) ) ^ r_shape</f>
        <v>0.47257724973384474</v>
      </c>
      <c r="M3" s="12">
        <f>B3/n_customers</f>
        <v>0.53125</v>
      </c>
      <c r="R3" s="1" t="s">
        <v>338</v>
      </c>
    </row>
    <row r="4" spans="1:18">
      <c r="A4" s="1" t="str">
        <v>banana</v>
      </c>
      <c r="B4" s="1">
        <f>COUNTIF(brand,A4)</f>
        <v>22</v>
      </c>
      <c r="C4" s="1">
        <f>SUMIFS(n_purchases,brand,A4)</f>
        <v>48</v>
      </c>
      <c r="D4" s="12">
        <f t="shared" ref="D4:D6" si="0">C4/$C$8</f>
        <v>0.375</v>
      </c>
      <c r="E4" s="11">
        <f t="shared" ref="E4:E6" si="1">C4/B4</f>
        <v>2.1818181818181817</v>
      </c>
      <c r="F4" s="11">
        <f>D4*alpha_0</f>
        <v>0.85752528256989868</v>
      </c>
      <c r="G4" s="11">
        <f>IFERROR( (mean_cat*D4) / ( (1 - M4)^(-1/r_shape) - 1 ), NA() )</f>
        <v>3.1982111990612845</v>
      </c>
      <c r="H4" s="11">
        <f xml:space="preserve"> ( s_hat / ( s_hat + mean_cat * D4 ) ) ^ r_shape</f>
        <v>0.41019966841719302</v>
      </c>
      <c r="I4" s="11"/>
      <c r="J4" s="12">
        <f>1-(1-D4)^r_shape</f>
        <v>0.75864210145401312</v>
      </c>
      <c r="K4" s="12">
        <f>1 - (alpha_0 / (alpha_0 + E4 * D4)) ^ r_shape</f>
        <v>0.60348683383203361</v>
      </c>
      <c r="L4" s="12">
        <f>1 - ( s_hat / ( s_hat + mean_cat * D4 ) ) ^ r_shape</f>
        <v>0.58980033158280698</v>
      </c>
      <c r="M4" s="12">
        <f>B4/n_customers</f>
        <v>0.6875</v>
      </c>
      <c r="R4" s="1" t="s">
        <v>339</v>
      </c>
    </row>
    <row r="5" spans="1:18">
      <c r="A5" s="1" t="str">
        <v>cherry</v>
      </c>
      <c r="B5" s="1">
        <f>COUNTIF(brand,A5)</f>
        <v>9</v>
      </c>
      <c r="C5" s="1">
        <f>SUMIFS(n_purchases,brand,A5)</f>
        <v>23</v>
      </c>
      <c r="D5" s="12">
        <f t="shared" si="0"/>
        <v>0.1796875</v>
      </c>
      <c r="E5" s="11">
        <f t="shared" si="1"/>
        <v>2.5555555555555554</v>
      </c>
      <c r="F5" s="11">
        <f>D5*alpha_0</f>
        <v>0.41089753123140976</v>
      </c>
      <c r="G5" s="11">
        <f>IFERROR( (mean_cat*D5) / ( (1 - M5)^(-1/r_shape) - 1 ), NA() )</f>
        <v>6.2295566526810475</v>
      </c>
      <c r="H5" s="11">
        <f xml:space="preserve"> ( s_hat / ( s_hat + mean_cat * D5 ) ) ^ r_shape</f>
        <v>0.63142927823644679</v>
      </c>
      <c r="I5" s="11"/>
      <c r="J5" s="12">
        <f>1-(1-D5)^r_shape</f>
        <v>0.45066164442514878</v>
      </c>
      <c r="K5" s="12">
        <f>1 - (alpha_0 / (alpha_0 + E5 * D5)) ^ r_shape</f>
        <v>0.4250400335702732</v>
      </c>
      <c r="L5" s="12">
        <f>1 - ( s_hat / ( s_hat + mean_cat * D5 ) ) ^ r_shape</f>
        <v>0.36857072176355321</v>
      </c>
      <c r="M5" s="12">
        <f>B5/n_customers</f>
        <v>0.28125</v>
      </c>
    </row>
    <row r="6" spans="1:18">
      <c r="A6" s="1" t="str">
        <v>durian</v>
      </c>
      <c r="B6" s="1">
        <f>COUNTIF(brand,A6)</f>
        <v>12</v>
      </c>
      <c r="C6" s="1">
        <f>SUMIFS(n_purchases,brand,A6)</f>
        <v>24</v>
      </c>
      <c r="D6" s="12">
        <f t="shared" si="0"/>
        <v>0.1875</v>
      </c>
      <c r="E6" s="11">
        <f t="shared" si="1"/>
        <v>2</v>
      </c>
      <c r="F6" s="11">
        <f>D6*alpha_0</f>
        <v>0.42876264128494934</v>
      </c>
      <c r="G6" s="11">
        <f>IFERROR( (mean_cat*D6) / ( (1 - M6)^(-1/r_shape) - 1 ), NA() )</f>
        <v>4.4608262475945075</v>
      </c>
      <c r="H6" s="11">
        <f xml:space="preserve"> ( s_hat / ( s_hat + mean_cat * D6 ) ) ^ r_shape</f>
        <v>0.61986262757295307</v>
      </c>
      <c r="I6" s="11"/>
      <c r="J6" s="12">
        <f>1-(1-D6)^r_shape</f>
        <v>0.46633259390130655</v>
      </c>
      <c r="K6" s="12">
        <f>1 - (alpha_0 / (alpha_0 + E6 * D6)) ^ r_shape</f>
        <v>0.36825111296078927</v>
      </c>
      <c r="L6" s="12">
        <f>1 - ( s_hat / ( s_hat + mean_cat * D6 ) ) ^ r_shape</f>
        <v>0.38013737242704693</v>
      </c>
      <c r="M6" s="12">
        <f>B6/n_customers</f>
        <v>0.375</v>
      </c>
      <c r="R6" t="s">
        <v>342</v>
      </c>
    </row>
    <row r="7" spans="1:18">
      <c r="G7" s="15" t="s">
        <v>340</v>
      </c>
      <c r="H7" s="5"/>
      <c r="R7" t="s">
        <v>343</v>
      </c>
    </row>
    <row r="8" spans="1:18">
      <c r="C8" s="1">
        <f>SUM(C3:C6)</f>
        <v>128</v>
      </c>
      <c r="D8" s="1">
        <f>SUM(D3:D6)</f>
        <v>1</v>
      </c>
      <c r="G8" s="11">
        <f>AVERAGE(G3:G6)</f>
        <v>4.3777074855873845</v>
      </c>
      <c r="H8" s="11"/>
      <c r="I8" s="1" t="s">
        <v>350</v>
      </c>
      <c r="J8" s="12" cm="1">
        <f t="array" ref="J8">SQRT(AVERAGE((J3:J6 - $M3:$M6)^2))</f>
        <v>0.10730510276816214</v>
      </c>
      <c r="K8" s="12" cm="1">
        <f t="array" ref="K8">SQRT(AVERAGE((K3:K6 - $M3:$M6)^2))</f>
        <v>9.2623647555650113E-2</v>
      </c>
      <c r="L8" s="12" cm="1">
        <f t="array" ref="L8">SQRT(AVERAGE((L3:L6 - $M3:$M6)^2))</f>
        <v>7.1831430929270343E-2</v>
      </c>
      <c r="Q8" s="14"/>
      <c r="R8" t="s">
        <v>344</v>
      </c>
    </row>
    <row r="11" spans="1:18">
      <c r="R11" t="s">
        <v>348</v>
      </c>
    </row>
    <row r="12" spans="1:18">
      <c r="R12" t="s">
        <v>349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3ABF9-7A3D-41E3-BA52-8C78A375DBBF}">
  <dimension ref="A1:G33"/>
  <sheetViews>
    <sheetView workbookViewId="0">
      <selection activeCell="I7" sqref="I7"/>
    </sheetView>
  </sheetViews>
  <sheetFormatPr defaultColWidth="8.85546875" defaultRowHeight="15.75"/>
  <cols>
    <col min="1" max="1" width="13.28515625" style="1" bestFit="1" customWidth="1"/>
    <col min="2" max="3" width="0" style="1" hidden="1" customWidth="1"/>
    <col min="4" max="16384" width="8.85546875" style="1"/>
  </cols>
  <sheetData>
    <row r="1" spans="1:7">
      <c r="A1" s="6" t="s">
        <v>0</v>
      </c>
      <c r="B1" s="1" t="str" cm="1">
        <f t="array" ref="B1:B4">_xlfn.UNIQUE(brand)</f>
        <v>banana</v>
      </c>
      <c r="C1" s="1" t="str" cm="1">
        <f t="array" ref="C1:C4">_xlfn._xlws.SORT(_xlfn.ANCHORARRAY(B1))</f>
        <v>apple</v>
      </c>
      <c r="D1" s="10" t="str" cm="1">
        <f t="array" ref="D1:G1">TRANSPOSE(_xlfn.ANCHORARRAY(C1))</f>
        <v>apple</v>
      </c>
      <c r="E1" s="10" t="str">
        <v>banana</v>
      </c>
      <c r="F1" s="10" t="str">
        <v>cherry</v>
      </c>
      <c r="G1" s="10" t="str">
        <v>durian</v>
      </c>
    </row>
    <row r="2" spans="1:7">
      <c r="A2" s="1" t="s">
        <v>7</v>
      </c>
      <c r="B2" s="1" t="str">
        <v>durian</v>
      </c>
      <c r="C2" s="1" t="str">
        <v>banana</v>
      </c>
      <c r="D2" s="1">
        <f>--(COUNTIFS(summary_cb!$A:$A, $A2, summary_cb!$B:$B, D$1) &gt; 0)</f>
        <v>0</v>
      </c>
      <c r="E2" s="1">
        <f>--(COUNTIFS(summary_cb!$A:$A, $A2, summary_cb!$B:$B, E$1) &gt; 0)</f>
        <v>1</v>
      </c>
      <c r="F2" s="1">
        <f>--(COUNTIFS(summary_cb!$A:$A, $A2, summary_cb!$B:$B, F$1) &gt; 0)</f>
        <v>0</v>
      </c>
      <c r="G2" s="1">
        <f>--(COUNTIFS(summary_cb!$A:$A, $A2, summary_cb!$B:$B, G$1) &gt; 0)</f>
        <v>0</v>
      </c>
    </row>
    <row r="3" spans="1:7">
      <c r="A3" s="1" t="s">
        <v>9</v>
      </c>
      <c r="B3" s="1" t="str">
        <v>apple</v>
      </c>
      <c r="C3" s="1" t="str">
        <v>cherry</v>
      </c>
      <c r="D3" s="1">
        <f>--(COUNTIFS(summary_cb!$A:$A, $A3, summary_cb!$B:$B, D$1) &gt; 0)</f>
        <v>0</v>
      </c>
      <c r="E3" s="1">
        <f>--(COUNTIFS(summary_cb!$A:$A, $A3, summary_cb!$B:$B, E$1) &gt; 0)</f>
        <v>1</v>
      </c>
      <c r="F3" s="1">
        <f>--(COUNTIFS(summary_cb!$A:$A, $A3, summary_cb!$B:$B, F$1) &gt; 0)</f>
        <v>0</v>
      </c>
      <c r="G3" s="1">
        <f>--(COUNTIFS(summary_cb!$A:$A, $A3, summary_cb!$B:$B, G$1) &gt; 0)</f>
        <v>1</v>
      </c>
    </row>
    <row r="4" spans="1:7">
      <c r="A4" s="1" t="s">
        <v>10</v>
      </c>
      <c r="B4" s="1" t="str">
        <v>cherry</v>
      </c>
      <c r="C4" s="1" t="str">
        <v>durian</v>
      </c>
      <c r="D4" s="1">
        <f>--(COUNTIFS(summary_cb!$A:$A, $A4, summary_cb!$B:$B, D$1) &gt; 0)</f>
        <v>0</v>
      </c>
      <c r="E4" s="1">
        <f>--(COUNTIFS(summary_cb!$A:$A, $A4, summary_cb!$B:$B, E$1) &gt; 0)</f>
        <v>0</v>
      </c>
      <c r="F4" s="1">
        <f>--(COUNTIFS(summary_cb!$A:$A, $A4, summary_cb!$B:$B, F$1) &gt; 0)</f>
        <v>0</v>
      </c>
      <c r="G4" s="1">
        <f>--(COUNTIFS(summary_cb!$A:$A, $A4, summary_cb!$B:$B, G$1) &gt; 0)</f>
        <v>1</v>
      </c>
    </row>
    <row r="5" spans="1:7">
      <c r="A5" s="1" t="s">
        <v>301</v>
      </c>
      <c r="D5" s="1">
        <f>--(COUNTIFS(summary_cb!$A:$A, $A5, summary_cb!$B:$B, D$1) &gt; 0)</f>
        <v>0</v>
      </c>
      <c r="E5" s="1">
        <f>--(COUNTIFS(summary_cb!$A:$A, $A5, summary_cb!$B:$B, E$1) &gt; 0)</f>
        <v>0</v>
      </c>
      <c r="F5" s="1">
        <f>--(COUNTIFS(summary_cb!$A:$A, $A5, summary_cb!$B:$B, F$1) &gt; 0)</f>
        <v>0</v>
      </c>
      <c r="G5" s="1">
        <f>--(COUNTIFS(summary_cb!$A:$A, $A5, summary_cb!$B:$B, G$1) &gt; 0)</f>
        <v>0</v>
      </c>
    </row>
    <row r="6" spans="1:7">
      <c r="A6" s="1" t="s">
        <v>302</v>
      </c>
      <c r="D6" s="1">
        <f>--(COUNTIFS(summary_cb!$A:$A, $A6, summary_cb!$B:$B, D$1) &gt; 0)</f>
        <v>0</v>
      </c>
      <c r="E6" s="1">
        <f>--(COUNTIFS(summary_cb!$A:$A, $A6, summary_cb!$B:$B, E$1) &gt; 0)</f>
        <v>0</v>
      </c>
      <c r="F6" s="1">
        <f>--(COUNTIFS(summary_cb!$A:$A, $A6, summary_cb!$B:$B, F$1) &gt; 0)</f>
        <v>0</v>
      </c>
      <c r="G6" s="1">
        <f>--(COUNTIFS(summary_cb!$A:$A, $A6, summary_cb!$B:$B, G$1) &gt; 0)</f>
        <v>0</v>
      </c>
    </row>
    <row r="7" spans="1:7">
      <c r="A7" s="1" t="s">
        <v>11</v>
      </c>
      <c r="D7" s="1">
        <f>--(COUNTIFS(summary_cb!$A:$A, $A7, summary_cb!$B:$B, D$1) &gt; 0)</f>
        <v>1</v>
      </c>
      <c r="E7" s="1">
        <f>--(COUNTIFS(summary_cb!$A:$A, $A7, summary_cb!$B:$B, E$1) &gt; 0)</f>
        <v>1</v>
      </c>
      <c r="F7" s="1">
        <f>--(COUNTIFS(summary_cb!$A:$A, $A7, summary_cb!$B:$B, F$1) &gt; 0)</f>
        <v>0</v>
      </c>
      <c r="G7" s="1">
        <f>--(COUNTIFS(summary_cb!$A:$A, $A7, summary_cb!$B:$B, G$1) &gt; 0)</f>
        <v>0</v>
      </c>
    </row>
    <row r="8" spans="1:7">
      <c r="A8" s="1" t="s">
        <v>13</v>
      </c>
      <c r="D8" s="1">
        <f>--(COUNTIFS(summary_cb!$A:$A, $A8, summary_cb!$B:$B, D$1) &gt; 0)</f>
        <v>0</v>
      </c>
      <c r="E8" s="1">
        <f>--(COUNTIFS(summary_cb!$A:$A, $A8, summary_cb!$B:$B, E$1) &gt; 0)</f>
        <v>1</v>
      </c>
      <c r="F8" s="1">
        <f>--(COUNTIFS(summary_cb!$A:$A, $A8, summary_cb!$B:$B, F$1) &gt; 0)</f>
        <v>0</v>
      </c>
      <c r="G8" s="1">
        <f>--(COUNTIFS(summary_cb!$A:$A, $A8, summary_cb!$B:$B, G$1) &gt; 0)</f>
        <v>0</v>
      </c>
    </row>
    <row r="9" spans="1:7">
      <c r="A9" s="1" t="s">
        <v>14</v>
      </c>
      <c r="D9" s="1">
        <f>--(COUNTIFS(summary_cb!$A:$A, $A9, summary_cb!$B:$B, D$1) &gt; 0)</f>
        <v>0</v>
      </c>
      <c r="E9" s="1">
        <f>--(COUNTIFS(summary_cb!$A:$A, $A9, summary_cb!$B:$B, E$1) &gt; 0)</f>
        <v>1</v>
      </c>
      <c r="F9" s="1">
        <f>--(COUNTIFS(summary_cb!$A:$A, $A9, summary_cb!$B:$B, F$1) &gt; 0)</f>
        <v>1</v>
      </c>
      <c r="G9" s="1">
        <f>--(COUNTIFS(summary_cb!$A:$A, $A9, summary_cb!$B:$B, G$1) &gt; 0)</f>
        <v>0</v>
      </c>
    </row>
    <row r="10" spans="1:7">
      <c r="A10" s="1" t="s">
        <v>16</v>
      </c>
      <c r="D10" s="1">
        <f>--(COUNTIFS(summary_cb!$A:$A, $A10, summary_cb!$B:$B, D$1) &gt; 0)</f>
        <v>0</v>
      </c>
      <c r="E10" s="1">
        <f>--(COUNTIFS(summary_cb!$A:$A, $A10, summary_cb!$B:$B, E$1) &gt; 0)</f>
        <v>0</v>
      </c>
      <c r="F10" s="1">
        <f>--(COUNTIFS(summary_cb!$A:$A, $A10, summary_cb!$B:$B, F$1) &gt; 0)</f>
        <v>1</v>
      </c>
      <c r="G10" s="1">
        <f>--(COUNTIFS(summary_cb!$A:$A, $A10, summary_cb!$B:$B, G$1) &gt; 0)</f>
        <v>0</v>
      </c>
    </row>
    <row r="11" spans="1:7">
      <c r="A11" s="1" t="s">
        <v>17</v>
      </c>
      <c r="D11" s="1">
        <f>--(COUNTIFS(summary_cb!$A:$A, $A11, summary_cb!$B:$B, D$1) &gt; 0)</f>
        <v>0</v>
      </c>
      <c r="E11" s="1">
        <f>--(COUNTIFS(summary_cb!$A:$A, $A11, summary_cb!$B:$B, E$1) &gt; 0)</f>
        <v>1</v>
      </c>
      <c r="F11" s="1">
        <f>--(COUNTIFS(summary_cb!$A:$A, $A11, summary_cb!$B:$B, F$1) &gt; 0)</f>
        <v>0</v>
      </c>
      <c r="G11" s="1">
        <f>--(COUNTIFS(summary_cb!$A:$A, $A11, summary_cb!$B:$B, G$1) &gt; 0)</f>
        <v>0</v>
      </c>
    </row>
    <row r="12" spans="1:7">
      <c r="A12" s="1" t="s">
        <v>18</v>
      </c>
      <c r="D12" s="1">
        <f>--(COUNTIFS(summary_cb!$A:$A, $A12, summary_cb!$B:$B, D$1) &gt; 0)</f>
        <v>1</v>
      </c>
      <c r="E12" s="1">
        <f>--(COUNTIFS(summary_cb!$A:$A, $A12, summary_cb!$B:$B, E$1) &gt; 0)</f>
        <v>1</v>
      </c>
      <c r="F12" s="1">
        <f>--(COUNTIFS(summary_cb!$A:$A, $A12, summary_cb!$B:$B, F$1) &gt; 0)</f>
        <v>0</v>
      </c>
      <c r="G12" s="1">
        <f>--(COUNTIFS(summary_cb!$A:$A, $A12, summary_cb!$B:$B, G$1) &gt; 0)</f>
        <v>1</v>
      </c>
    </row>
    <row r="13" spans="1:7">
      <c r="A13" s="1" t="s">
        <v>19</v>
      </c>
      <c r="D13" s="1">
        <f>--(COUNTIFS(summary_cb!$A:$A, $A13, summary_cb!$B:$B, D$1) &gt; 0)</f>
        <v>1</v>
      </c>
      <c r="E13" s="1">
        <f>--(COUNTIFS(summary_cb!$A:$A, $A13, summary_cb!$B:$B, E$1) &gt; 0)</f>
        <v>1</v>
      </c>
      <c r="F13" s="1">
        <f>--(COUNTIFS(summary_cb!$A:$A, $A13, summary_cb!$B:$B, F$1) &gt; 0)</f>
        <v>1</v>
      </c>
      <c r="G13" s="1">
        <f>--(COUNTIFS(summary_cb!$A:$A, $A13, summary_cb!$B:$B, G$1) &gt; 0)</f>
        <v>0</v>
      </c>
    </row>
    <row r="14" spans="1:7">
      <c r="A14" s="1" t="s">
        <v>20</v>
      </c>
      <c r="D14" s="1">
        <f>--(COUNTIFS(summary_cb!$A:$A, $A14, summary_cb!$B:$B, D$1) &gt; 0)</f>
        <v>1</v>
      </c>
      <c r="E14" s="1">
        <f>--(COUNTIFS(summary_cb!$A:$A, $A14, summary_cb!$B:$B, E$1) &gt; 0)</f>
        <v>0</v>
      </c>
      <c r="F14" s="1">
        <f>--(COUNTIFS(summary_cb!$A:$A, $A14, summary_cb!$B:$B, F$1) &gt; 0)</f>
        <v>1</v>
      </c>
      <c r="G14" s="1">
        <f>--(COUNTIFS(summary_cb!$A:$A, $A14, summary_cb!$B:$B, G$1) &gt; 0)</f>
        <v>0</v>
      </c>
    </row>
    <row r="15" spans="1:7">
      <c r="A15" s="1" t="s">
        <v>21</v>
      </c>
      <c r="D15" s="1">
        <f>--(COUNTIFS(summary_cb!$A:$A, $A15, summary_cb!$B:$B, D$1) &gt; 0)</f>
        <v>1</v>
      </c>
      <c r="E15" s="1">
        <f>--(COUNTIFS(summary_cb!$A:$A, $A15, summary_cb!$B:$B, E$1) &gt; 0)</f>
        <v>1</v>
      </c>
      <c r="F15" s="1">
        <f>--(COUNTIFS(summary_cb!$A:$A, $A15, summary_cb!$B:$B, F$1) &gt; 0)</f>
        <v>0</v>
      </c>
      <c r="G15" s="1">
        <f>--(COUNTIFS(summary_cb!$A:$A, $A15, summary_cb!$B:$B, G$1) &gt; 0)</f>
        <v>0</v>
      </c>
    </row>
    <row r="16" spans="1:7">
      <c r="A16" s="1" t="s">
        <v>22</v>
      </c>
      <c r="D16" s="1">
        <f>--(COUNTIFS(summary_cb!$A:$A, $A16, summary_cb!$B:$B, D$1) &gt; 0)</f>
        <v>0</v>
      </c>
      <c r="E16" s="1">
        <f>--(COUNTIFS(summary_cb!$A:$A, $A16, summary_cb!$B:$B, E$1) &gt; 0)</f>
        <v>1</v>
      </c>
      <c r="F16" s="1">
        <f>--(COUNTIFS(summary_cb!$A:$A, $A16, summary_cb!$B:$B, F$1) &gt; 0)</f>
        <v>0</v>
      </c>
      <c r="G16" s="1">
        <f>--(COUNTIFS(summary_cb!$A:$A, $A16, summary_cb!$B:$B, G$1) &gt; 0)</f>
        <v>0</v>
      </c>
    </row>
    <row r="17" spans="1:7">
      <c r="A17" s="1" t="s">
        <v>23</v>
      </c>
      <c r="D17" s="1">
        <f>--(COUNTIFS(summary_cb!$A:$A, $A17, summary_cb!$B:$B, D$1) &gt; 0)</f>
        <v>0</v>
      </c>
      <c r="E17" s="1">
        <f>--(COUNTIFS(summary_cb!$A:$A, $A17, summary_cb!$B:$B, E$1) &gt; 0)</f>
        <v>0</v>
      </c>
      <c r="F17" s="1">
        <f>--(COUNTIFS(summary_cb!$A:$A, $A17, summary_cb!$B:$B, F$1) &gt; 0)</f>
        <v>1</v>
      </c>
      <c r="G17" s="1">
        <f>--(COUNTIFS(summary_cb!$A:$A, $A17, summary_cb!$B:$B, G$1) &gt; 0)</f>
        <v>0</v>
      </c>
    </row>
    <row r="18" spans="1:7">
      <c r="A18" s="1" t="s">
        <v>24</v>
      </c>
      <c r="D18" s="1">
        <f>--(COUNTIFS(summary_cb!$A:$A, $A18, summary_cb!$B:$B, D$1) &gt; 0)</f>
        <v>0</v>
      </c>
      <c r="E18" s="1">
        <f>--(COUNTIFS(summary_cb!$A:$A, $A18, summary_cb!$B:$B, E$1) &gt; 0)</f>
        <v>1</v>
      </c>
      <c r="F18" s="1">
        <f>--(COUNTIFS(summary_cb!$A:$A, $A18, summary_cb!$B:$B, F$1) &gt; 0)</f>
        <v>1</v>
      </c>
      <c r="G18" s="1">
        <f>--(COUNTIFS(summary_cb!$A:$A, $A18, summary_cb!$B:$B, G$1) &gt; 0)</f>
        <v>1</v>
      </c>
    </row>
    <row r="19" spans="1:7">
      <c r="A19" s="1" t="s">
        <v>25</v>
      </c>
      <c r="D19" s="1">
        <f>--(COUNTIFS(summary_cb!$A:$A, $A19, summary_cb!$B:$B, D$1) &gt; 0)</f>
        <v>1</v>
      </c>
      <c r="E19" s="1">
        <f>--(COUNTIFS(summary_cb!$A:$A, $A19, summary_cb!$B:$B, E$1) &gt; 0)</f>
        <v>0</v>
      </c>
      <c r="F19" s="1">
        <f>--(COUNTIFS(summary_cb!$A:$A, $A19, summary_cb!$B:$B, F$1) &gt; 0)</f>
        <v>0</v>
      </c>
      <c r="G19" s="1">
        <f>--(COUNTIFS(summary_cb!$A:$A, $A19, summary_cb!$B:$B, G$1) &gt; 0)</f>
        <v>0</v>
      </c>
    </row>
    <row r="20" spans="1:7">
      <c r="A20" s="1" t="s">
        <v>26</v>
      </c>
      <c r="D20" s="1">
        <f>--(COUNTIFS(summary_cb!$A:$A, $A20, summary_cb!$B:$B, D$1) &gt; 0)</f>
        <v>1</v>
      </c>
      <c r="E20" s="1">
        <f>--(COUNTIFS(summary_cb!$A:$A, $A20, summary_cb!$B:$B, E$1) &gt; 0)</f>
        <v>0</v>
      </c>
      <c r="F20" s="1">
        <f>--(COUNTIFS(summary_cb!$A:$A, $A20, summary_cb!$B:$B, F$1) &gt; 0)</f>
        <v>0</v>
      </c>
      <c r="G20" s="1">
        <f>--(COUNTIFS(summary_cb!$A:$A, $A20, summary_cb!$B:$B, G$1) &gt; 0)</f>
        <v>0</v>
      </c>
    </row>
    <row r="21" spans="1:7">
      <c r="A21" s="1" t="s">
        <v>27</v>
      </c>
      <c r="D21" s="1">
        <f>--(COUNTIFS(summary_cb!$A:$A, $A21, summary_cb!$B:$B, D$1) &gt; 0)</f>
        <v>1</v>
      </c>
      <c r="E21" s="1">
        <f>--(COUNTIFS(summary_cb!$A:$A, $A21, summary_cb!$B:$B, E$1) &gt; 0)</f>
        <v>1</v>
      </c>
      <c r="F21" s="1">
        <f>--(COUNTIFS(summary_cb!$A:$A, $A21, summary_cb!$B:$B, F$1) &gt; 0)</f>
        <v>0</v>
      </c>
      <c r="G21" s="1">
        <f>--(COUNTIFS(summary_cb!$A:$A, $A21, summary_cb!$B:$B, G$1) &gt; 0)</f>
        <v>1</v>
      </c>
    </row>
    <row r="22" spans="1:7">
      <c r="A22" s="1" t="s">
        <v>28</v>
      </c>
      <c r="D22" s="1">
        <f>--(COUNTIFS(summary_cb!$A:$A, $A22, summary_cb!$B:$B, D$1) &gt; 0)</f>
        <v>1</v>
      </c>
      <c r="E22" s="1">
        <f>--(COUNTIFS(summary_cb!$A:$A, $A22, summary_cb!$B:$B, E$1) &gt; 0)</f>
        <v>1</v>
      </c>
      <c r="F22" s="1">
        <f>--(COUNTIFS(summary_cb!$A:$A, $A22, summary_cb!$B:$B, F$1) &gt; 0)</f>
        <v>0</v>
      </c>
      <c r="G22" s="1">
        <f>--(COUNTIFS(summary_cb!$A:$A, $A22, summary_cb!$B:$B, G$1) &gt; 0)</f>
        <v>1</v>
      </c>
    </row>
    <row r="23" spans="1:7">
      <c r="A23" s="1" t="s">
        <v>29</v>
      </c>
      <c r="D23" s="1">
        <f>--(COUNTIFS(summary_cb!$A:$A, $A23, summary_cb!$B:$B, D$1) &gt; 0)</f>
        <v>1</v>
      </c>
      <c r="E23" s="1">
        <f>--(COUNTIFS(summary_cb!$A:$A, $A23, summary_cb!$B:$B, E$1) &gt; 0)</f>
        <v>0</v>
      </c>
      <c r="F23" s="1">
        <f>--(COUNTIFS(summary_cb!$A:$A, $A23, summary_cb!$B:$B, F$1) &gt; 0)</f>
        <v>0</v>
      </c>
      <c r="G23" s="1">
        <f>--(COUNTIFS(summary_cb!$A:$A, $A23, summary_cb!$B:$B, G$1) &gt; 0)</f>
        <v>0</v>
      </c>
    </row>
    <row r="24" spans="1:7">
      <c r="A24" s="1" t="s">
        <v>30</v>
      </c>
      <c r="D24" s="1">
        <f>--(COUNTIFS(summary_cb!$A:$A, $A24, summary_cb!$B:$B, D$1) &gt; 0)</f>
        <v>0</v>
      </c>
      <c r="E24" s="1">
        <f>--(COUNTIFS(summary_cb!$A:$A, $A24, summary_cb!$B:$B, E$1) &gt; 0)</f>
        <v>1</v>
      </c>
      <c r="F24" s="1">
        <f>--(COUNTIFS(summary_cb!$A:$A, $A24, summary_cb!$B:$B, F$1) &gt; 0)</f>
        <v>0</v>
      </c>
      <c r="G24" s="1">
        <f>--(COUNTIFS(summary_cb!$A:$A, $A24, summary_cb!$B:$B, G$1) &gt; 0)</f>
        <v>0</v>
      </c>
    </row>
    <row r="25" spans="1:7">
      <c r="A25" s="1" t="s">
        <v>31</v>
      </c>
      <c r="D25" s="1">
        <f>--(COUNTIFS(summary_cb!$A:$A, $A25, summary_cb!$B:$B, D$1) &gt; 0)</f>
        <v>0</v>
      </c>
      <c r="E25" s="1">
        <f>--(COUNTIFS(summary_cb!$A:$A, $A25, summary_cb!$B:$B, E$1) &gt; 0)</f>
        <v>1</v>
      </c>
      <c r="F25" s="1">
        <f>--(COUNTIFS(summary_cb!$A:$A, $A25, summary_cb!$B:$B, F$1) &gt; 0)</f>
        <v>0</v>
      </c>
      <c r="G25" s="1">
        <f>--(COUNTIFS(summary_cb!$A:$A, $A25, summary_cb!$B:$B, G$1) &gt; 0)</f>
        <v>0</v>
      </c>
    </row>
    <row r="26" spans="1:7">
      <c r="A26" s="1" t="s">
        <v>32</v>
      </c>
      <c r="D26" s="1">
        <f>--(COUNTIFS(summary_cb!$A:$A, $A26, summary_cb!$B:$B, D$1) &gt; 0)</f>
        <v>1</v>
      </c>
      <c r="E26" s="1">
        <f>--(COUNTIFS(summary_cb!$A:$A, $A26, summary_cb!$B:$B, E$1) &gt; 0)</f>
        <v>1</v>
      </c>
      <c r="F26" s="1">
        <f>--(COUNTIFS(summary_cb!$A:$A, $A26, summary_cb!$B:$B, F$1) &gt; 0)</f>
        <v>0</v>
      </c>
      <c r="G26" s="1">
        <f>--(COUNTIFS(summary_cb!$A:$A, $A26, summary_cb!$B:$B, G$1) &gt; 0)</f>
        <v>0</v>
      </c>
    </row>
    <row r="27" spans="1:7">
      <c r="A27" s="1" t="s">
        <v>33</v>
      </c>
      <c r="D27" s="1">
        <f>--(COUNTIFS(summary_cb!$A:$A, $A27, summary_cb!$B:$B, D$1) &gt; 0)</f>
        <v>1</v>
      </c>
      <c r="E27" s="1">
        <f>--(COUNTIFS(summary_cb!$A:$A, $A27, summary_cb!$B:$B, E$1) &gt; 0)</f>
        <v>1</v>
      </c>
      <c r="F27" s="1">
        <f>--(COUNTIFS(summary_cb!$A:$A, $A27, summary_cb!$B:$B, F$1) &gt; 0)</f>
        <v>0</v>
      </c>
      <c r="G27" s="1">
        <f>--(COUNTIFS(summary_cb!$A:$A, $A27, summary_cb!$B:$B, G$1) &gt; 0)</f>
        <v>1</v>
      </c>
    </row>
    <row r="28" spans="1:7">
      <c r="A28" s="1" t="s">
        <v>34</v>
      </c>
      <c r="D28" s="1">
        <f>--(COUNTIFS(summary_cb!$A:$A, $A28, summary_cb!$B:$B, D$1) &gt; 0)</f>
        <v>1</v>
      </c>
      <c r="E28" s="1">
        <f>--(COUNTIFS(summary_cb!$A:$A, $A28, summary_cb!$B:$B, E$1) &gt; 0)</f>
        <v>1</v>
      </c>
      <c r="F28" s="1">
        <f>--(COUNTIFS(summary_cb!$A:$A, $A28, summary_cb!$B:$B, F$1) &gt; 0)</f>
        <v>1</v>
      </c>
      <c r="G28" s="1">
        <f>--(COUNTIFS(summary_cb!$A:$A, $A28, summary_cb!$B:$B, G$1) &gt; 0)</f>
        <v>1</v>
      </c>
    </row>
    <row r="29" spans="1:7">
      <c r="A29" s="1" t="s">
        <v>35</v>
      </c>
      <c r="D29" s="1">
        <f>--(COUNTIFS(summary_cb!$A:$A, $A29, summary_cb!$B:$B, D$1) &gt; 0)</f>
        <v>1</v>
      </c>
      <c r="E29" s="1">
        <f>--(COUNTIFS(summary_cb!$A:$A, $A29, summary_cb!$B:$B, E$1) &gt; 0)</f>
        <v>1</v>
      </c>
      <c r="F29" s="1">
        <f>--(COUNTIFS(summary_cb!$A:$A, $A29, summary_cb!$B:$B, F$1) &gt; 0)</f>
        <v>0</v>
      </c>
      <c r="G29" s="1">
        <f>--(COUNTIFS(summary_cb!$A:$A, $A29, summary_cb!$B:$B, G$1) &gt; 0)</f>
        <v>1</v>
      </c>
    </row>
    <row r="30" spans="1:7">
      <c r="A30" s="1" t="s">
        <v>36</v>
      </c>
      <c r="D30" s="1">
        <f>--(COUNTIFS(summary_cb!$A:$A, $A30, summary_cb!$B:$B, D$1) &gt; 0)</f>
        <v>0</v>
      </c>
      <c r="E30" s="1">
        <f>--(COUNTIFS(summary_cb!$A:$A, $A30, summary_cb!$B:$B, E$1) &gt; 0)</f>
        <v>1</v>
      </c>
      <c r="F30" s="1">
        <f>--(COUNTIFS(summary_cb!$A:$A, $A30, summary_cb!$B:$B, F$1) &gt; 0)</f>
        <v>1</v>
      </c>
      <c r="G30" s="1">
        <f>--(COUNTIFS(summary_cb!$A:$A, $A30, summary_cb!$B:$B, G$1) &gt; 0)</f>
        <v>1</v>
      </c>
    </row>
    <row r="31" spans="1:7">
      <c r="A31" s="1" t="s">
        <v>37</v>
      </c>
      <c r="D31" s="1">
        <f>--(COUNTIFS(summary_cb!$A:$A, $A31, summary_cb!$B:$B, D$1) &gt; 0)</f>
        <v>1</v>
      </c>
      <c r="E31" s="1">
        <f>--(COUNTIFS(summary_cb!$A:$A, $A31, summary_cb!$B:$B, E$1) &gt; 0)</f>
        <v>0</v>
      </c>
      <c r="F31" s="1">
        <f>--(COUNTIFS(summary_cb!$A:$A, $A31, summary_cb!$B:$B, F$1) &gt; 0)</f>
        <v>0</v>
      </c>
      <c r="G31" s="1">
        <f>--(COUNTIFS(summary_cb!$A:$A, $A31, summary_cb!$B:$B, G$1) &gt; 0)</f>
        <v>1</v>
      </c>
    </row>
    <row r="32" spans="1:7">
      <c r="A32" s="1" t="s">
        <v>38</v>
      </c>
      <c r="D32" s="1">
        <f>--(COUNTIFS(summary_cb!$A:$A, $A32, summary_cb!$B:$B, D$1) &gt; 0)</f>
        <v>1</v>
      </c>
      <c r="E32" s="1">
        <f>--(COUNTIFS(summary_cb!$A:$A, $A32, summary_cb!$B:$B, E$1) &gt; 0)</f>
        <v>1</v>
      </c>
      <c r="F32" s="1">
        <f>--(COUNTIFS(summary_cb!$A:$A, $A32, summary_cb!$B:$B, F$1) &gt; 0)</f>
        <v>1</v>
      </c>
      <c r="G32" s="1">
        <f>--(COUNTIFS(summary_cb!$A:$A, $A32, summary_cb!$B:$B, G$1) &gt; 0)</f>
        <v>1</v>
      </c>
    </row>
    <row r="33" spans="1:7">
      <c r="A33" s="1" t="s">
        <v>39</v>
      </c>
      <c r="D33" s="1">
        <f>--(COUNTIFS(summary_cb!$A:$A, $A33, summary_cb!$B:$B, D$1) &gt; 0)</f>
        <v>1</v>
      </c>
      <c r="E33" s="1">
        <f>--(COUNTIFS(summary_cb!$A:$A, $A33, summary_cb!$B:$B, E$1) &gt; 0)</f>
        <v>1</v>
      </c>
      <c r="F33" s="1">
        <f>--(COUNTIFS(summary_cb!$A:$A, $A33, summary_cb!$B:$B, F$1) &gt; 0)</f>
        <v>0</v>
      </c>
      <c r="G33" s="1">
        <f>--(COUNTIFS(summary_cb!$A:$A, $A33, summary_cb!$B:$B, G$1) &gt; 0)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D41F2-2B8F-40C2-BDFD-E93DFDC03E7A}">
  <dimension ref="A1:M17"/>
  <sheetViews>
    <sheetView topLeftCell="B1" workbookViewId="0">
      <selection activeCell="F17" sqref="F17"/>
    </sheetView>
  </sheetViews>
  <sheetFormatPr defaultColWidth="8.85546875" defaultRowHeight="15.75"/>
  <cols>
    <col min="1" max="1" width="21.85546875" style="1" customWidth="1"/>
    <col min="2" max="7" width="8.85546875" style="1"/>
    <col min="8" max="8" width="11.7109375" style="1" customWidth="1"/>
    <col min="9" max="16384" width="8.85546875" style="1"/>
  </cols>
  <sheetData>
    <row r="1" spans="1:13" ht="18.75">
      <c r="A1" s="1" t="s">
        <v>326</v>
      </c>
      <c r="H1" s="17" t="s">
        <v>354</v>
      </c>
    </row>
    <row r="2" spans="1:13">
      <c r="C2" s="1" t="s">
        <v>328</v>
      </c>
      <c r="I2" s="5" t="s">
        <v>328</v>
      </c>
    </row>
    <row r="3" spans="1:13">
      <c r="A3" s="1" t="s">
        <v>327</v>
      </c>
      <c r="C3" s="1" t="str">
        <f>B4</f>
        <v>apple</v>
      </c>
      <c r="D3" s="1" t="str">
        <f>B5</f>
        <v>banana</v>
      </c>
      <c r="E3" s="1" t="str">
        <f>B6</f>
        <v>cherry</v>
      </c>
      <c r="F3" s="1" t="str">
        <f>B7</f>
        <v>durian</v>
      </c>
      <c r="H3" s="5" t="s">
        <v>329</v>
      </c>
      <c r="J3" s="1" t="str">
        <f>C3</f>
        <v>apple</v>
      </c>
      <c r="K3" s="1" t="str">
        <f t="shared" ref="K3:M3" si="0">D3</f>
        <v>banana</v>
      </c>
      <c r="L3" s="1" t="str">
        <f t="shared" si="0"/>
        <v>cherry</v>
      </c>
      <c r="M3" s="1" t="str">
        <f t="shared" si="0"/>
        <v>durian</v>
      </c>
    </row>
    <row r="4" spans="1:13">
      <c r="B4" s="1" t="str">
        <f>brand_summary!A3</f>
        <v>apple</v>
      </c>
      <c r="C4" s="1" cm="1">
        <f t="array" ref="C4">SUMPRODUCT((apple=1)*(apple=1))</f>
        <v>17</v>
      </c>
      <c r="D4" s="1" cm="1">
        <f t="array" ref="D4">SUMPRODUCT((apple=1)*(banana=1))</f>
        <v>12</v>
      </c>
      <c r="E4" s="1" cm="1">
        <f t="array" ref="E4">SUMPRODUCT((apple=1)*(cherry=1))</f>
        <v>4</v>
      </c>
      <c r="F4" s="1" cm="1">
        <f t="array" ref="F4">SUMPRODUCT((apple=1)*(durian=1))</f>
        <v>8</v>
      </c>
      <c r="I4" s="1" t="str">
        <f>B4</f>
        <v>apple</v>
      </c>
      <c r="J4" s="12"/>
      <c r="K4" s="12">
        <f>D4/SUM(apple)</f>
        <v>0.70588235294117652</v>
      </c>
      <c r="L4" s="12">
        <f>E4/SUM(apple)</f>
        <v>0.23529411764705882</v>
      </c>
      <c r="M4" s="12">
        <f>F4/SUM(apple)</f>
        <v>0.47058823529411764</v>
      </c>
    </row>
    <row r="5" spans="1:13">
      <c r="B5" s="1" t="str">
        <f>brand_summary!A4</f>
        <v>banana</v>
      </c>
      <c r="C5" s="1" cm="1">
        <f t="array" ref="C5">SUMPRODUCT((banana=1)*(apple=1))</f>
        <v>12</v>
      </c>
      <c r="D5" s="1" cm="1">
        <f t="array" ref="D5">SUMPRODUCT((banana=1)*(banana=1))</f>
        <v>22</v>
      </c>
      <c r="E5" s="1" cm="1">
        <f t="array" ref="E5">SUMPRODUCT((banana=1)*(cherry=1))</f>
        <v>6</v>
      </c>
      <c r="F5" s="1" cm="1">
        <f t="array" ref="F5">SUMPRODUCT((banana=1)*(durian=1))</f>
        <v>10</v>
      </c>
      <c r="I5" s="1" t="str">
        <f t="shared" ref="I5:I7" si="1">B5</f>
        <v>banana</v>
      </c>
      <c r="J5" s="12">
        <f>C5/SUM(banana)</f>
        <v>0.54545454545454541</v>
      </c>
      <c r="K5" s="12"/>
      <c r="L5" s="12">
        <f>E5/SUM(banana)</f>
        <v>0.27272727272727271</v>
      </c>
      <c r="M5" s="12">
        <f>F5/SUM(banana)</f>
        <v>0.45454545454545453</v>
      </c>
    </row>
    <row r="6" spans="1:13">
      <c r="B6" s="1" t="str">
        <f>brand_summary!A5</f>
        <v>cherry</v>
      </c>
      <c r="C6" s="1" cm="1">
        <f t="array" ref="C6">SUMPRODUCT((cherry=1)*(apple=1))</f>
        <v>4</v>
      </c>
      <c r="D6" s="1" cm="1">
        <f t="array" ref="D6">SUMPRODUCT((cherry=1)*(banana=1))</f>
        <v>6</v>
      </c>
      <c r="E6" s="1" cm="1">
        <f t="array" ref="E6">SUMPRODUCT((cherry=1)*(cherry=1))</f>
        <v>9</v>
      </c>
      <c r="F6" s="1" cm="1">
        <f t="array" ref="F6">SUMPRODUCT((cherry=1)*(durian=1))</f>
        <v>4</v>
      </c>
      <c r="I6" s="1" t="str">
        <f t="shared" si="1"/>
        <v>cherry</v>
      </c>
      <c r="J6" s="12">
        <f>C6/SUM(cherry)</f>
        <v>0.44444444444444442</v>
      </c>
      <c r="K6" s="12">
        <f>D6/SUM(cherry)</f>
        <v>0.66666666666666663</v>
      </c>
      <c r="L6" s="12"/>
      <c r="M6" s="12">
        <f>F6/SUM(cherry)</f>
        <v>0.44444444444444442</v>
      </c>
    </row>
    <row r="7" spans="1:13">
      <c r="B7" s="1" t="str">
        <f>brand_summary!A6</f>
        <v>durian</v>
      </c>
      <c r="C7" s="1" cm="1">
        <f t="array" ref="C7">SUMPRODUCT((durian=1)*(apple=1))</f>
        <v>8</v>
      </c>
      <c r="D7" s="1" cm="1">
        <f t="array" ref="D7">SUMPRODUCT((durian=1)*(banana=1))</f>
        <v>10</v>
      </c>
      <c r="E7" s="1" cm="1">
        <f t="array" ref="E7">SUMPRODUCT((durian=1)*(cherry=1))</f>
        <v>4</v>
      </c>
      <c r="F7" s="1" cm="1">
        <f t="array" ref="F7">SUMPRODUCT((durian=1)*(durian=1))</f>
        <v>12</v>
      </c>
      <c r="I7" s="1" t="str">
        <f t="shared" si="1"/>
        <v>durian</v>
      </c>
      <c r="J7" s="12">
        <f>C7/SUM(durian)</f>
        <v>0.66666666666666663</v>
      </c>
      <c r="K7" s="12">
        <f>D7/SUM(durian)</f>
        <v>0.83333333333333337</v>
      </c>
      <c r="L7" s="12">
        <f>E7/SUM(durian)</f>
        <v>0.33333333333333331</v>
      </c>
      <c r="M7" s="12"/>
    </row>
    <row r="9" spans="1:13" ht="18.75">
      <c r="H9" s="17" t="s">
        <v>352</v>
      </c>
    </row>
    <row r="10" spans="1:13">
      <c r="I10" s="5" t="s">
        <v>328</v>
      </c>
      <c r="J10" s="13"/>
    </row>
    <row r="11" spans="1:13">
      <c r="H11" s="5" t="s">
        <v>329</v>
      </c>
      <c r="I11"/>
      <c r="J11" t="s">
        <v>12</v>
      </c>
      <c r="K11" t="s">
        <v>8</v>
      </c>
      <c r="L11" t="s">
        <v>15</v>
      </c>
      <c r="M11" t="s">
        <v>353</v>
      </c>
    </row>
    <row r="12" spans="1:13">
      <c r="I12" t="s">
        <v>12</v>
      </c>
      <c r="J12" s="16"/>
      <c r="K12" s="16">
        <f xml:space="preserve"> _xlfn.LET(
   _xlpm.rowBrand, $I12,
   _xlpm.colBrand, K$11,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0.66434357734436977</v>
      </c>
      <c r="L12" s="16">
        <f xml:space="preserve"> _xlfn.LET(
   _xlpm.rowBrand, $I12,
   _xlpm.colBrand, L$11,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0.42912386986280371</v>
      </c>
      <c r="M12" s="16">
        <f xml:space="preserve"> _xlfn.LET(
   _xlpm.rowBrand, $I12,
   _xlpm.colBrand, M$11,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0.4419164160233704</v>
      </c>
    </row>
    <row r="13" spans="1:13">
      <c r="I13" t="s">
        <v>8</v>
      </c>
      <c r="J13" s="16">
        <f xml:space="preserve"> _xlfn.LET(
   _xlpm.rowBrand, $I13,
   _xlpm.colBrand, J$11,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0.5323049917880005</v>
      </c>
      <c r="K13" s="16"/>
      <c r="L13" s="16">
        <f xml:space="preserve"> _xlfn.LET(
   _xlpm.rowBrand, $I13,
   _xlpm.colBrand, L$11,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0.42005510285224812</v>
      </c>
      <c r="M13" s="16">
        <f xml:space="preserve"> _xlfn.LET(
   _xlpm.rowBrand, $I13,
   _xlpm.colBrand, M$11,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0.43270301273506906</v>
      </c>
    </row>
    <row r="14" spans="1:13">
      <c r="I14" t="s">
        <v>15</v>
      </c>
      <c r="J14" s="16">
        <f xml:space="preserve"> _xlfn.LET(
   _xlpm.rowBrand, $I14,
   _xlpm.colBrand, J$11,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0.55021781774897827</v>
      </c>
      <c r="K14" s="16">
        <f xml:space="preserve"> _xlfn.LET(
   _xlpm.rowBrand, $I14,
   _xlpm.colBrand, K$11,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0.67218751874773874</v>
      </c>
      <c r="L14" s="16"/>
      <c r="M14" s="16">
        <f xml:space="preserve"> _xlfn.LET(
   _xlpm.rowBrand, $I14,
   _xlpm.colBrand, M$11,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0.44923502593085979</v>
      </c>
    </row>
    <row r="15" spans="1:13">
      <c r="I15" t="s">
        <v>353</v>
      </c>
      <c r="J15" s="16">
        <f xml:space="preserve"> _xlfn.LET(
   _xlpm.rowBrand, $I15,
   _xlpm.colBrand, J$11,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0.54937940766831828</v>
      </c>
      <c r="K15" s="16">
        <f xml:space="preserve"> _xlfn.LET(
   _xlpm.rowBrand, $I15,
   _xlpm.colBrand, K$11,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0.67135830070746583</v>
      </c>
      <c r="L15" s="16">
        <f xml:space="preserve"> _xlfn.LET(
   _xlpm.rowBrand, $I15,
   _xlpm.colBrand, L$11,
   _xlpm.rowShare,  _xlfn.XLOOKUP(_xlpm.rowBrand, brand_summary!$A:$A, brand_summary!$D:$D),
   _xlpm.colShare,  _xlfn.XLOOKUP(_xlpm.colBrand, brand_summary!$A:$A, brand_summary!$D:$D),
   _xlpm.P_row,     _xlfn.XLOOKUP(_xlpm.rowBrand, brand_summary!$A:$A, brand_summary!$L:$L),
   _xlpm.P_col,     _xlfn.XLOOKUP(_xlpm.colBrand, brand_summary!$A:$A, brand_summary!$L:$L),
   _xlpm.Zij,       ( s_hat / ( s_hat + mean_cat * (_xlpm.rowShare + _xlpm.colShare) ) ) ^ r_shape,
   ( _xlpm.P_row + _xlpm.P_col - 1 + _xlpm.Zij ) / _xlpm.P_row
 )</f>
        <v>0.43556590264110745</v>
      </c>
      <c r="M15" s="16"/>
    </row>
    <row r="17" spans="8:9">
      <c r="H17" s="1" t="s">
        <v>350</v>
      </c>
      <c r="I17" s="12" cm="1">
        <f t="array" ref="I17">SQRT(AVERAGE((J4:M7 - J12:M15) ^ 2))</f>
        <v>8.8090207678429358E-2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17</vt:i4>
      </vt:variant>
    </vt:vector>
  </HeadingPairs>
  <TitlesOfParts>
    <vt:vector size="24" baseType="lpstr">
      <vt:lpstr>transactions</vt:lpstr>
      <vt:lpstr>summary_cb</vt:lpstr>
      <vt:lpstr>customer_summary</vt:lpstr>
      <vt:lpstr>NBD_probabilities</vt:lpstr>
      <vt:lpstr>brand_summary</vt:lpstr>
      <vt:lpstr>brand_flags</vt:lpstr>
      <vt:lpstr>duplication</vt:lpstr>
      <vt:lpstr>alpha_0</vt:lpstr>
      <vt:lpstr>alpha_scale</vt:lpstr>
      <vt:lpstr>apple</vt:lpstr>
      <vt:lpstr>banana</vt:lpstr>
      <vt:lpstr>brand</vt:lpstr>
      <vt:lpstr>cherry</vt:lpstr>
      <vt:lpstr>columnBrand</vt:lpstr>
      <vt:lpstr>durian</vt:lpstr>
      <vt:lpstr>mean_cat</vt:lpstr>
      <vt:lpstr>n_customers</vt:lpstr>
      <vt:lpstr>n_purchases</vt:lpstr>
      <vt:lpstr>n_purchases_total</vt:lpstr>
      <vt:lpstr>r_shape</vt:lpstr>
      <vt:lpstr>rowBrand</vt:lpstr>
      <vt:lpstr>s_hat</vt:lpstr>
      <vt:lpstr>variance_cat</vt:lpstr>
      <vt:lpstr>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Hume Winzar</dc:creator>
  <cp:lastModifiedBy>Hume Winzar</cp:lastModifiedBy>
  <dcterms:created xsi:type="dcterms:W3CDTF">2025-11-02T04:01:58Z</dcterms:created>
  <dcterms:modified xsi:type="dcterms:W3CDTF">2025-11-05T09:58:23Z</dcterms:modified>
</cp:coreProperties>
</file>